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4355" activeTab="0"/>
  </bookViews>
  <sheets>
    <sheet name="private vehicle" sheetId="1" r:id="rId1"/>
    <sheet name="shperndarja" sheetId="2" r:id="rId2"/>
    <sheet name="loading" sheetId="3" r:id="rId3"/>
  </sheets>
  <definedNames>
    <definedName name="_xlfn.COUNTIFS" hidden="1">#NAME?</definedName>
    <definedName name="_xlfn.NORM.INV" hidden="1">#NAME?</definedName>
    <definedName name="_xlfn.PERCENTILE.EXC" hidden="1">#NAME?</definedName>
    <definedName name="_xlfn.PERCENTILE.INC" hidden="1">#NAME?</definedName>
    <definedName name="_xlfn.STDEV.P" hidden="1">#NAME?</definedName>
    <definedName name="_xlfn.STDEV.S" hidden="1">#NAME?</definedName>
    <definedName name="_xlnm.Print_Area" localSheetId="0">'private vehicle'!$A$1:$L$43</definedName>
  </definedNames>
  <calcPr fullCalcOnLoad="1"/>
</workbook>
</file>

<file path=xl/sharedStrings.xml><?xml version="1.0" encoding="utf-8"?>
<sst xmlns="http://schemas.openxmlformats.org/spreadsheetml/2006/main" count="251" uniqueCount="97">
  <si>
    <t>IBNR</t>
  </si>
  <si>
    <t>(1)</t>
  </si>
  <si>
    <t>(2)</t>
  </si>
  <si>
    <t>(3)</t>
  </si>
  <si>
    <t>(6)</t>
  </si>
  <si>
    <t>(10)</t>
  </si>
  <si>
    <t>(11)=(9)*(10)</t>
  </si>
  <si>
    <t>Private Vehicles</t>
  </si>
  <si>
    <t>Total</t>
  </si>
  <si>
    <t>Year</t>
  </si>
  <si>
    <t>Claims Cost</t>
  </si>
  <si>
    <t>Estimation</t>
  </si>
  <si>
    <t>(4)=(2)+(3)</t>
  </si>
  <si>
    <t>Final Claims</t>
  </si>
  <si>
    <t>Cost</t>
  </si>
  <si>
    <t>Vehicle</t>
  </si>
  <si>
    <t>Years</t>
  </si>
  <si>
    <t>(5)</t>
  </si>
  <si>
    <t>Number of</t>
  </si>
  <si>
    <t>Claims Incurr.</t>
  </si>
  <si>
    <t>Avg Claims Cost</t>
  </si>
  <si>
    <t>Claims</t>
  </si>
  <si>
    <t>Frequency</t>
  </si>
  <si>
    <t>(9)=(7)*(8)</t>
  </si>
  <si>
    <t xml:space="preserve">Risk </t>
  </si>
  <si>
    <t>Premium</t>
  </si>
  <si>
    <t>Claims Inflation for 2011:</t>
  </si>
  <si>
    <t>Future Claims Inflation for 2013:</t>
  </si>
  <si>
    <t>Coefficient of</t>
  </si>
  <si>
    <t>Inflation</t>
  </si>
  <si>
    <t>Risk Premium</t>
  </si>
  <si>
    <t>Adjusted</t>
  </si>
  <si>
    <t>Average date of occurrence of claims:</t>
  </si>
  <si>
    <t>(7)=(4)/(6)</t>
  </si>
  <si>
    <t>(8)=(6)/(5)</t>
  </si>
  <si>
    <t>Selected Value of Risk Premium</t>
  </si>
  <si>
    <t>% of Loading for Heavy Claims</t>
  </si>
  <si>
    <t>Theoretical Risk Premium</t>
  </si>
  <si>
    <t xml:space="preserve">Average dates to use for projections </t>
  </si>
  <si>
    <t>Average date of claims payments</t>
  </si>
  <si>
    <t>Accident</t>
  </si>
  <si>
    <t>&lt; 100 MLN</t>
  </si>
  <si>
    <t>15Ditore</t>
  </si>
  <si>
    <t>1Mujore</t>
  </si>
  <si>
    <t>2Mujore</t>
  </si>
  <si>
    <t>3Mujore</t>
  </si>
  <si>
    <t>4Mujore</t>
  </si>
  <si>
    <t>5Mujore</t>
  </si>
  <si>
    <t>6Mujore</t>
  </si>
  <si>
    <t>7Mujore</t>
  </si>
  <si>
    <t>8Mujore</t>
  </si>
  <si>
    <t>9Mujore</t>
  </si>
  <si>
    <t>10Mujore</t>
  </si>
  <si>
    <t>1Vjecare</t>
  </si>
  <si>
    <t>A/1</t>
  </si>
  <si>
    <t>B1/1</t>
  </si>
  <si>
    <t>B2/1</t>
  </si>
  <si>
    <t>C1/1</t>
  </si>
  <si>
    <t>C2/1</t>
  </si>
  <si>
    <t>C3/1</t>
  </si>
  <si>
    <t>D/1</t>
  </si>
  <si>
    <t>E1/1</t>
  </si>
  <si>
    <t>E2/1</t>
  </si>
  <si>
    <t>E3/1</t>
  </si>
  <si>
    <t>F1/1</t>
  </si>
  <si>
    <t>F2/1</t>
  </si>
  <si>
    <t>F3/1</t>
  </si>
  <si>
    <t>4. Koefiçentët</t>
  </si>
  <si>
    <t>5. Koefiçentët e kombinuar</t>
  </si>
  <si>
    <t>Ngarkesa/vit</t>
  </si>
  <si>
    <t>Primi I parashikuar</t>
  </si>
  <si>
    <t>Ngarkesa, %</t>
  </si>
  <si>
    <t>Primi I riskut, pa ngarkesë</t>
  </si>
  <si>
    <t>&lt; 100'000 EUR</t>
  </si>
  <si>
    <t>Demi I madh 1</t>
  </si>
  <si>
    <t>Demi I madh 2</t>
  </si>
  <si>
    <t>Demi I madh 3</t>
  </si>
  <si>
    <t>Valori in EUR</t>
  </si>
  <si>
    <t>3. Tarifat e riskut</t>
  </si>
  <si>
    <t>Brikena Xhaja</t>
  </si>
  <si>
    <t>Aktuare</t>
  </si>
  <si>
    <t>INTERSIG VIG</t>
  </si>
  <si>
    <t>Future Claims Inflation for 2015:</t>
  </si>
  <si>
    <t>Future Claims Inflation for 2014:</t>
  </si>
  <si>
    <t>Claims Inflation for 2012:</t>
  </si>
  <si>
    <t>Calculation of Risk Premium Green Card</t>
  </si>
  <si>
    <t>Maksim Qerreti</t>
  </si>
  <si>
    <t>Accident year</t>
  </si>
  <si>
    <t>Gentian Seferi</t>
  </si>
  <si>
    <t>Besmir Shkambaj</t>
  </si>
  <si>
    <r>
      <t xml:space="preserve">Validity period of the new tariff: </t>
    </r>
    <r>
      <rPr>
        <b/>
        <sz val="12"/>
        <color indexed="12"/>
        <rFont val="Arial"/>
        <family val="2"/>
      </rPr>
      <t>1 January 2018 - 31 December 2018</t>
    </r>
  </si>
  <si>
    <t>Paid 2017</t>
  </si>
  <si>
    <t>RBNS 2017</t>
  </si>
  <si>
    <t>1. Numër policash të shkruara, 2017</t>
  </si>
  <si>
    <t>2. % policash të shkruara, 2017</t>
  </si>
  <si>
    <t>Nr. Viteve (2008-2017)</t>
  </si>
  <si>
    <t>6. Primi i riskut (në Euro)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</si>
</sst>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%"/>
    <numFmt numFmtId="179" formatCode="_-* #,##0.0_-;\-* #,##0.0_-;_-* &quot;-&quot;_-;_-@_-"/>
    <numFmt numFmtId="180" formatCode="_-* #,##0.00_-;\-* #,##0.00_-;_-* &quot;-&quot;_-;_-@_-"/>
    <numFmt numFmtId="181" formatCode="0.0"/>
    <numFmt numFmtId="182" formatCode="_-* #,##0.000_-;\-* #,##0.000_-;_-* &quot;-&quot;_-;_-@_-"/>
    <numFmt numFmtId="183" formatCode="0.0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"/>
    <numFmt numFmtId="192" formatCode="#,##0.000"/>
    <numFmt numFmtId="193" formatCode=";;;"/>
    <numFmt numFmtId="194" formatCode="_-* #,##0.0000_-;\-* #,##0.0000_-;_-* &quot;-&quot;_-;_-@_-"/>
    <numFmt numFmtId="195" formatCode="_-* #,##0.00000_-;\-* #,##0.00000_-;_-* &quot;-&quot;_-;_-@_-"/>
    <numFmt numFmtId="196" formatCode="_-* #,##0.00000_-;\-* #,##0.00000_-;_-* &quot;-&quot;?????_-;_-@_-"/>
    <numFmt numFmtId="197" formatCode="_-* #,##0.000000_-;\-* #,##0.000000_-;_-* &quot;-&quot;_-;_-@_-"/>
    <numFmt numFmtId="198" formatCode="_-* #,##0.0_-;\-* #,##0.0_-;_-* &quot;-&quot;?_-;_-@_-"/>
    <numFmt numFmtId="199" formatCode="_-* #,##0.00_-;\-* #,##0.00_-;_-* &quot;-&quot;?_-;_-@_-"/>
    <numFmt numFmtId="200" formatCode="_-* #,##0.000_-;\-* #,##0.000_-;_-* &quot;-&quot;?_-;_-@_-"/>
    <numFmt numFmtId="201" formatCode="d\ mmmm\ yyyy"/>
    <numFmt numFmtId="202" formatCode="_-* #,##0.0000_-;\-* #,##0.0000_-;_-* &quot;-&quot;????_-;_-@_-"/>
    <numFmt numFmtId="203" formatCode="_-* #,##0.000_-;\-* #,##0.000_-;_-* &quot;-&quot;???_-;_-@_-"/>
    <numFmt numFmtId="204" formatCode="#,##0.0000"/>
    <numFmt numFmtId="205" formatCode="0.000%"/>
    <numFmt numFmtId="206" formatCode="0.0000%"/>
    <numFmt numFmtId="207" formatCode="[$-410]dddd\ d\ mmmm\ yyyy"/>
    <numFmt numFmtId="208" formatCode="_-* #,##0_-;\-* #,##0_-;_-* &quot;-&quot;??_-;_-@_-"/>
    <numFmt numFmtId="209" formatCode="_(* #,##0_);_(* \(#,##0\);_(* &quot;-&quot;??_);_(@_)"/>
    <numFmt numFmtId="210" formatCode="_-* #,##0.0_-;\-* #,##0.0_-;_-* &quot;-&quot;??_-;_-@_-"/>
    <numFmt numFmtId="211" formatCode="0.00000000000000%"/>
    <numFmt numFmtId="212" formatCode="_-* #,##0.000_-;\-* #,##0.000_-;_-* &quot;-&quot;??_-;_-@_-"/>
    <numFmt numFmtId="213" formatCode="_-* #,##0.0000_-;\-* #,##0.0000_-;_-* &quot;-&quot;??_-;_-@_-"/>
    <numFmt numFmtId="214" formatCode="[$-409]dddd\,\ mmmm\ dd\,\ yyyy"/>
    <numFmt numFmtId="215" formatCode="_(* #,##0.0_);_(* \(#,##0.0\);_(* &quot;-&quot;?_);_(@_)"/>
    <numFmt numFmtId="216" formatCode="_(* #,##0.0_);_(* \(#,##0.0\);_(* &quot;-&quot;??_);_(@_)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0.00000%"/>
    <numFmt numFmtId="222" formatCode="0.000000%"/>
    <numFmt numFmtId="223" formatCode="_(* #,##0.000000000_);_(* \(#,##0.000000000\);_(* &quot;-&quot;?????????_);_(@_)"/>
    <numFmt numFmtId="224" formatCode="_(* #,##0_);_(* \(#,##0\);_(* &quot;-&quot;?_);_(@_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i/>
      <sz val="10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>
        <color rgb="FFFF0000"/>
      </left>
      <right/>
      <top/>
      <bottom/>
    </border>
    <border>
      <left/>
      <right style="double">
        <color rgb="FFFF0000"/>
      </right>
      <top/>
      <bottom/>
    </border>
    <border>
      <left style="double">
        <color rgb="FFFF0000"/>
      </left>
      <right/>
      <top/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/>
      <right style="double">
        <color rgb="FFFF0000"/>
      </right>
      <top/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rgb="FFFF0000"/>
      </left>
      <right/>
      <top style="double">
        <color rgb="FFFF0000"/>
      </top>
      <bottom/>
    </border>
    <border>
      <left/>
      <right/>
      <top style="double">
        <color rgb="FFFF0000"/>
      </top>
      <bottom/>
    </border>
    <border>
      <left/>
      <right style="double">
        <color rgb="FFFF0000"/>
      </right>
      <top style="double">
        <color rgb="FFFF0000"/>
      </top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83" fontId="0" fillId="0" borderId="0" xfId="0" applyNumberFormat="1" applyFont="1" applyAlignment="1">
      <alignment horizontal="right"/>
    </xf>
    <xf numFmtId="15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10" fontId="0" fillId="0" borderId="10" xfId="62" applyNumberFormat="1" applyFont="1" applyBorder="1" applyAlignment="1">
      <alignment/>
    </xf>
    <xf numFmtId="2" fontId="0" fillId="0" borderId="0" xfId="0" applyNumberFormat="1" applyFont="1" applyAlignment="1">
      <alignment horizontal="right"/>
    </xf>
    <xf numFmtId="180" fontId="0" fillId="0" borderId="0" xfId="43" applyNumberFormat="1" applyFont="1" applyAlignment="1">
      <alignment horizontal="right"/>
    </xf>
    <xf numFmtId="180" fontId="4" fillId="0" borderId="0" xfId="43" applyNumberFormat="1" applyFont="1" applyAlignment="1">
      <alignment horizontal="right" wrapText="1"/>
    </xf>
    <xf numFmtId="0" fontId="1" fillId="0" borderId="0" xfId="0" applyFont="1" applyBorder="1" applyAlignment="1" quotePrefix="1">
      <alignment horizontal="center"/>
    </xf>
    <xf numFmtId="180" fontId="0" fillId="0" borderId="0" xfId="43" applyNumberFormat="1" applyFont="1" applyBorder="1" applyAlignment="1">
      <alignment/>
    </xf>
    <xf numFmtId="0" fontId="1" fillId="0" borderId="11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8" fontId="6" fillId="0" borderId="0" xfId="62" applyNumberFormat="1" applyFont="1" applyBorder="1" applyAlignment="1">
      <alignment horizontal="right" vertical="center"/>
    </xf>
    <xf numFmtId="0" fontId="8" fillId="0" borderId="0" xfId="0" applyFont="1" applyAlignment="1" quotePrefix="1">
      <alignment horizontal="left"/>
    </xf>
    <xf numFmtId="0" fontId="0" fillId="0" borderId="0" xfId="0" applyFont="1" applyBorder="1" applyAlignment="1">
      <alignment/>
    </xf>
    <xf numFmtId="15" fontId="0" fillId="0" borderId="0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/>
    </xf>
    <xf numFmtId="0" fontId="4" fillId="0" borderId="0" xfId="0" applyNumberFormat="1" applyFont="1" applyAlignment="1">
      <alignment horizontal="center" wrapText="1"/>
    </xf>
    <xf numFmtId="4" fontId="4" fillId="0" borderId="0" xfId="43" applyNumberFormat="1" applyFont="1" applyAlignment="1">
      <alignment horizontal="right" wrapText="1"/>
    </xf>
    <xf numFmtId="0" fontId="50" fillId="0" borderId="10" xfId="0" applyFont="1" applyBorder="1" applyAlignment="1" quotePrefix="1">
      <alignment horizontal="left"/>
    </xf>
    <xf numFmtId="0" fontId="1" fillId="0" borderId="10" xfId="0" applyFont="1" applyBorder="1" applyAlignment="1">
      <alignment/>
    </xf>
    <xf numFmtId="4" fontId="1" fillId="0" borderId="0" xfId="43" applyNumberFormat="1" applyFont="1" applyAlignment="1">
      <alignment horizontal="right"/>
    </xf>
    <xf numFmtId="9" fontId="0" fillId="0" borderId="0" xfId="62" applyFont="1" applyAlignment="1">
      <alignment/>
    </xf>
    <xf numFmtId="208" fontId="0" fillId="0" borderId="0" xfId="42" applyNumberFormat="1" applyFont="1" applyAlignment="1">
      <alignment/>
    </xf>
    <xf numFmtId="3" fontId="0" fillId="0" borderId="0" xfId="43" applyNumberFormat="1" applyFont="1" applyAlignment="1">
      <alignment horizontal="right"/>
    </xf>
    <xf numFmtId="208" fontId="0" fillId="0" borderId="0" xfId="42" applyNumberFormat="1" applyFont="1" applyAlignment="1">
      <alignment/>
    </xf>
    <xf numFmtId="208" fontId="7" fillId="0" borderId="0" xfId="42" applyNumberFormat="1" applyFont="1" applyBorder="1" applyAlignment="1">
      <alignment/>
    </xf>
    <xf numFmtId="208" fontId="0" fillId="0" borderId="0" xfId="0" applyNumberFormat="1" applyAlignment="1">
      <alignment/>
    </xf>
    <xf numFmtId="10" fontId="51" fillId="33" borderId="0" xfId="62" applyNumberFormat="1" applyFont="1" applyFill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171" fontId="0" fillId="33" borderId="0" xfId="42" applyFont="1" applyFill="1" applyBorder="1" applyAlignment="1">
      <alignment/>
    </xf>
    <xf numFmtId="171" fontId="0" fillId="33" borderId="14" xfId="42" applyFont="1" applyFill="1" applyBorder="1" applyAlignment="1">
      <alignment/>
    </xf>
    <xf numFmtId="171" fontId="0" fillId="33" borderId="16" xfId="42" applyFont="1" applyFill="1" applyBorder="1" applyAlignment="1">
      <alignment/>
    </xf>
    <xf numFmtId="171" fontId="0" fillId="33" borderId="17" xfId="42" applyFont="1" applyFill="1" applyBorder="1" applyAlignment="1">
      <alignment/>
    </xf>
    <xf numFmtId="208" fontId="0" fillId="33" borderId="0" xfId="42" applyNumberFormat="1" applyFont="1" applyFill="1" applyBorder="1" applyAlignment="1">
      <alignment/>
    </xf>
    <xf numFmtId="208" fontId="0" fillId="33" borderId="14" xfId="42" applyNumberFormat="1" applyFont="1" applyFill="1" applyBorder="1" applyAlignment="1">
      <alignment/>
    </xf>
    <xf numFmtId="208" fontId="0" fillId="33" borderId="16" xfId="42" applyNumberFormat="1" applyFont="1" applyFill="1" applyBorder="1" applyAlignment="1">
      <alignment/>
    </xf>
    <xf numFmtId="208" fontId="0" fillId="33" borderId="17" xfId="42" applyNumberFormat="1" applyFont="1" applyFill="1" applyBorder="1" applyAlignment="1">
      <alignment/>
    </xf>
    <xf numFmtId="9" fontId="0" fillId="33" borderId="0" xfId="62" applyFont="1" applyFill="1" applyBorder="1" applyAlignment="1">
      <alignment/>
    </xf>
    <xf numFmtId="9" fontId="0" fillId="33" borderId="14" xfId="62" applyFont="1" applyFill="1" applyBorder="1" applyAlignment="1">
      <alignment/>
    </xf>
    <xf numFmtId="9" fontId="0" fillId="33" borderId="16" xfId="62" applyFont="1" applyFill="1" applyBorder="1" applyAlignment="1">
      <alignment/>
    </xf>
    <xf numFmtId="9" fontId="0" fillId="33" borderId="17" xfId="62" applyFont="1" applyFill="1" applyBorder="1" applyAlignment="1">
      <alignment/>
    </xf>
    <xf numFmtId="178" fontId="0" fillId="33" borderId="0" xfId="62" applyNumberFormat="1" applyFont="1" applyFill="1" applyBorder="1" applyAlignment="1">
      <alignment/>
    </xf>
    <xf numFmtId="178" fontId="0" fillId="33" borderId="14" xfId="62" applyNumberFormat="1" applyFont="1" applyFill="1" applyBorder="1" applyAlignment="1">
      <alignment/>
    </xf>
    <xf numFmtId="178" fontId="0" fillId="33" borderId="16" xfId="62" applyNumberFormat="1" applyFont="1" applyFill="1" applyBorder="1" applyAlignment="1">
      <alignment/>
    </xf>
    <xf numFmtId="178" fontId="0" fillId="33" borderId="17" xfId="62" applyNumberFormat="1" applyFont="1" applyFill="1" applyBorder="1" applyAlignment="1">
      <alignment/>
    </xf>
    <xf numFmtId="208" fontId="0" fillId="33" borderId="0" xfId="42" applyNumberFormat="1" applyFont="1" applyFill="1" applyAlignment="1">
      <alignment/>
    </xf>
    <xf numFmtId="10" fontId="0" fillId="33" borderId="0" xfId="62" applyNumberFormat="1" applyFont="1" applyFill="1" applyAlignment="1">
      <alignment/>
    </xf>
    <xf numFmtId="208" fontId="0" fillId="33" borderId="0" xfId="42" applyNumberFormat="1" applyFont="1" applyFill="1" applyAlignment="1">
      <alignment/>
    </xf>
    <xf numFmtId="0" fontId="0" fillId="0" borderId="18" xfId="0" applyBorder="1" applyAlignment="1">
      <alignment/>
    </xf>
    <xf numFmtId="178" fontId="51" fillId="33" borderId="0" xfId="62" applyNumberFormat="1" applyFont="1" applyFill="1" applyAlignment="1">
      <alignment horizontal="right"/>
    </xf>
    <xf numFmtId="208" fontId="0" fillId="34" borderId="0" xfId="42" applyNumberFormat="1" applyFont="1" applyFill="1" applyBorder="1" applyAlignment="1">
      <alignment/>
    </xf>
    <xf numFmtId="208" fontId="0" fillId="34" borderId="14" xfId="42" applyNumberFormat="1" applyFont="1" applyFill="1" applyBorder="1" applyAlignment="1">
      <alignment/>
    </xf>
    <xf numFmtId="208" fontId="0" fillId="34" borderId="16" xfId="42" applyNumberFormat="1" applyFont="1" applyFill="1" applyBorder="1" applyAlignment="1">
      <alignment/>
    </xf>
    <xf numFmtId="208" fontId="0" fillId="34" borderId="0" xfId="42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ill="1" applyAlignment="1">
      <alignment/>
    </xf>
    <xf numFmtId="1" fontId="1" fillId="0" borderId="0" xfId="0" applyNumberFormat="1" applyFont="1" applyAlignment="1">
      <alignment/>
    </xf>
    <xf numFmtId="3" fontId="0" fillId="0" borderId="0" xfId="62" applyNumberFormat="1" applyFont="1" applyAlignment="1">
      <alignment/>
    </xf>
    <xf numFmtId="3" fontId="7" fillId="0" borderId="0" xfId="62" applyNumberFormat="1" applyFont="1" applyAlignment="1">
      <alignment/>
    </xf>
    <xf numFmtId="3" fontId="0" fillId="33" borderId="0" xfId="42" applyNumberFormat="1" applyFont="1" applyFill="1" applyBorder="1" applyAlignment="1">
      <alignment/>
    </xf>
    <xf numFmtId="3" fontId="0" fillId="33" borderId="14" xfId="42" applyNumberFormat="1" applyFont="1" applyFill="1" applyBorder="1" applyAlignment="1">
      <alignment/>
    </xf>
    <xf numFmtId="3" fontId="0" fillId="33" borderId="16" xfId="42" applyNumberFormat="1" applyFont="1" applyFill="1" applyBorder="1" applyAlignment="1">
      <alignment/>
    </xf>
    <xf numFmtId="3" fontId="0" fillId="33" borderId="17" xfId="42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209" fontId="0" fillId="0" borderId="0" xfId="42" applyNumberFormat="1" applyFont="1" applyAlignment="1">
      <alignment/>
    </xf>
    <xf numFmtId="3" fontId="4" fillId="0" borderId="0" xfId="0" applyNumberFormat="1" applyFont="1" applyAlignment="1">
      <alignment horizontal="center" wrapText="1"/>
    </xf>
    <xf numFmtId="208" fontId="0" fillId="0" borderId="0" xfId="42" applyNumberFormat="1" applyFont="1" applyAlignment="1">
      <alignment horizontal="right"/>
    </xf>
    <xf numFmtId="224" fontId="0" fillId="33" borderId="0" xfId="0" applyNumberFormat="1" applyFill="1" applyAlignment="1">
      <alignment/>
    </xf>
    <xf numFmtId="208" fontId="0" fillId="33" borderId="0" xfId="0" applyNumberFormat="1" applyFill="1" applyAlignment="1">
      <alignment/>
    </xf>
    <xf numFmtId="3" fontId="51" fillId="34" borderId="10" xfId="0" applyNumberFormat="1" applyFont="1" applyFill="1" applyBorder="1" applyAlignment="1">
      <alignment/>
    </xf>
    <xf numFmtId="3" fontId="0" fillId="35" borderId="10" xfId="0" applyNumberFormat="1" applyFont="1" applyFill="1" applyBorder="1" applyAlignment="1" quotePrefix="1">
      <alignment/>
    </xf>
    <xf numFmtId="3" fontId="0" fillId="35" borderId="10" xfId="0" applyNumberFormat="1" applyFont="1" applyFill="1" applyBorder="1" applyAlignment="1" quotePrefix="1">
      <alignment horizontal="center"/>
    </xf>
    <xf numFmtId="208" fontId="0" fillId="0" borderId="10" xfId="42" applyNumberFormat="1" applyFont="1" applyBorder="1" applyAlignment="1">
      <alignment/>
    </xf>
    <xf numFmtId="212" fontId="0" fillId="0" borderId="10" xfId="42" applyNumberFormat="1" applyFont="1" applyBorder="1" applyAlignment="1">
      <alignment/>
    </xf>
    <xf numFmtId="3" fontId="0" fillId="35" borderId="10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3" fontId="51" fillId="34" borderId="20" xfId="0" applyNumberFormat="1" applyFont="1" applyFill="1" applyBorder="1" applyAlignment="1">
      <alignment/>
    </xf>
    <xf numFmtId="3" fontId="0" fillId="0" borderId="20" xfId="0" applyNumberFormat="1" applyBorder="1" applyAlignment="1">
      <alignment/>
    </xf>
    <xf numFmtId="3" fontId="0" fillId="35" borderId="20" xfId="0" applyNumberFormat="1" applyFont="1" applyFill="1" applyBorder="1" applyAlignment="1" quotePrefix="1">
      <alignment/>
    </xf>
    <xf numFmtId="3" fontId="0" fillId="35" borderId="20" xfId="0" applyNumberFormat="1" applyFont="1" applyFill="1" applyBorder="1" applyAlignment="1" quotePrefix="1">
      <alignment horizontal="center"/>
    </xf>
    <xf numFmtId="208" fontId="0" fillId="0" borderId="20" xfId="42" applyNumberFormat="1" applyFont="1" applyBorder="1" applyAlignment="1">
      <alignment/>
    </xf>
    <xf numFmtId="10" fontId="0" fillId="0" borderId="20" xfId="62" applyNumberFormat="1" applyFont="1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 horizontal="center"/>
    </xf>
    <xf numFmtId="4" fontId="0" fillId="0" borderId="23" xfId="0" applyNumberFormat="1" applyBorder="1" applyAlignment="1">
      <alignment/>
    </xf>
    <xf numFmtId="0" fontId="0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 quotePrefix="1">
      <alignment horizontal="center"/>
    </xf>
    <xf numFmtId="0" fontId="1" fillId="0" borderId="26" xfId="0" applyFont="1" applyBorder="1" applyAlignment="1" quotePrefix="1">
      <alignment horizontal="centerContinuous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 quotePrefix="1">
      <alignment horizontal="center"/>
    </xf>
    <xf numFmtId="0" fontId="1" fillId="0" borderId="30" xfId="0" applyFont="1" applyBorder="1" applyAlignment="1" quotePrefix="1">
      <alignment horizontal="center"/>
    </xf>
    <xf numFmtId="0" fontId="1" fillId="0" borderId="31" xfId="0" applyFont="1" applyBorder="1" applyAlignment="1" quotePrefix="1">
      <alignment horizontal="center"/>
    </xf>
    <xf numFmtId="0" fontId="1" fillId="0" borderId="31" xfId="0" applyFont="1" applyBorder="1" applyAlignment="1" quotePrefix="1">
      <alignment horizontal="center"/>
    </xf>
    <xf numFmtId="0" fontId="1" fillId="0" borderId="32" xfId="0" applyFont="1" applyBorder="1" applyAlignment="1" quotePrefix="1">
      <alignment horizontal="center"/>
    </xf>
    <xf numFmtId="0" fontId="0" fillId="0" borderId="33" xfId="0" applyFont="1" applyBorder="1" applyAlignment="1">
      <alignment/>
    </xf>
    <xf numFmtId="178" fontId="51" fillId="0" borderId="0" xfId="62" applyNumberFormat="1" applyFont="1" applyFill="1" applyBorder="1" applyAlignment="1">
      <alignment horizontal="right" vertical="center"/>
    </xf>
    <xf numFmtId="183" fontId="0" fillId="33" borderId="0" xfId="0" applyNumberFormat="1" applyFont="1" applyFill="1" applyAlignment="1">
      <alignment horizontal="right"/>
    </xf>
    <xf numFmtId="178" fontId="0" fillId="0" borderId="0" xfId="62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11" xfId="0" applyBorder="1" applyAlignment="1">
      <alignment/>
    </xf>
    <xf numFmtId="0" fontId="0" fillId="33" borderId="0" xfId="0" applyFont="1" applyFill="1" applyBorder="1" applyAlignment="1">
      <alignment/>
    </xf>
    <xf numFmtId="178" fontId="0" fillId="33" borderId="0" xfId="62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208" fontId="0" fillId="33" borderId="0" xfId="42" applyNumberFormat="1" applyFont="1" applyFill="1" applyBorder="1" applyAlignment="1">
      <alignment/>
    </xf>
    <xf numFmtId="208" fontId="0" fillId="33" borderId="16" xfId="42" applyNumberFormat="1" applyFont="1" applyFill="1" applyBorder="1" applyAlignment="1">
      <alignment/>
    </xf>
    <xf numFmtId="171" fontId="0" fillId="34" borderId="0" xfId="42" applyFont="1" applyFill="1" applyAlignment="1">
      <alignment horizontal="right"/>
    </xf>
    <xf numFmtId="15" fontId="52" fillId="36" borderId="12" xfId="0" applyNumberFormat="1" applyFont="1" applyFill="1" applyBorder="1" applyAlignment="1" quotePrefix="1">
      <alignment horizontal="right"/>
    </xf>
    <xf numFmtId="15" fontId="52" fillId="36" borderId="10" xfId="0" applyNumberFormat="1" applyFont="1" applyFill="1" applyBorder="1" applyAlignment="1">
      <alignment/>
    </xf>
    <xf numFmtId="15" fontId="51" fillId="36" borderId="10" xfId="0" applyNumberFormat="1" applyFont="1" applyFill="1" applyBorder="1" applyAlignment="1" quotePrefix="1">
      <alignment horizontal="center"/>
    </xf>
    <xf numFmtId="15" fontId="51" fillId="36" borderId="10" xfId="0" applyNumberFormat="1" applyFont="1" applyFill="1" applyBorder="1" applyAlignment="1" quotePrefix="1">
      <alignment horizontal="righ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" fillId="0" borderId="35" xfId="0" applyFont="1" applyBorder="1" applyAlignment="1">
      <alignment horizontal="center" wrapText="1"/>
    </xf>
    <xf numFmtId="0" fontId="0" fillId="0" borderId="37" xfId="0" applyFont="1" applyBorder="1" applyAlignment="1">
      <alignment/>
    </xf>
    <xf numFmtId="178" fontId="51" fillId="0" borderId="10" xfId="62" applyNumberFormat="1" applyFont="1" applyBorder="1" applyAlignment="1">
      <alignment horizontal="right" vertical="center"/>
    </xf>
    <xf numFmtId="178" fontId="51" fillId="36" borderId="10" xfId="62" applyNumberFormat="1" applyFont="1" applyFill="1" applyBorder="1" applyAlignment="1">
      <alignment horizontal="right" vertical="center"/>
    </xf>
    <xf numFmtId="0" fontId="0" fillId="0" borderId="0" xfId="0" applyFont="1" applyAlignment="1" quotePrefix="1">
      <alignment horizontal="left"/>
    </xf>
    <xf numFmtId="0" fontId="0" fillId="0" borderId="30" xfId="0" applyBorder="1" applyAlignment="1">
      <alignment horizontal="center"/>
    </xf>
    <xf numFmtId="3" fontId="51" fillId="34" borderId="31" xfId="0" applyNumberFormat="1" applyFont="1" applyFill="1" applyBorder="1" applyAlignment="1">
      <alignment/>
    </xf>
    <xf numFmtId="3" fontId="0" fillId="35" borderId="31" xfId="0" applyNumberFormat="1" applyFont="1" applyFill="1" applyBorder="1" applyAlignment="1">
      <alignment/>
    </xf>
    <xf numFmtId="3" fontId="0" fillId="35" borderId="31" xfId="0" applyNumberFormat="1" applyFont="1" applyFill="1" applyBorder="1" applyAlignment="1">
      <alignment horizontal="center"/>
    </xf>
    <xf numFmtId="171" fontId="0" fillId="0" borderId="23" xfId="42" applyNumberFormat="1" applyFont="1" applyBorder="1" applyAlignment="1">
      <alignment/>
    </xf>
    <xf numFmtId="208" fontId="0" fillId="0" borderId="0" xfId="42" applyNumberFormat="1" applyFont="1" applyBorder="1" applyAlignment="1">
      <alignment/>
    </xf>
    <xf numFmtId="171" fontId="0" fillId="0" borderId="0" xfId="42" applyFont="1" applyAlignment="1">
      <alignment/>
    </xf>
    <xf numFmtId="208" fontId="0" fillId="0" borderId="0" xfId="0" applyNumberFormat="1" applyBorder="1" applyAlignment="1">
      <alignment/>
    </xf>
    <xf numFmtId="208" fontId="0" fillId="0" borderId="0" xfId="0" applyNumberFormat="1" applyFont="1" applyAlignment="1">
      <alignment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5" fillId="37" borderId="43" xfId="0" applyFont="1" applyFill="1" applyBorder="1" applyAlignment="1">
      <alignment horizontal="center"/>
    </xf>
    <xf numFmtId="0" fontId="35" fillId="37" borderId="44" xfId="0" applyFont="1" applyFill="1" applyBorder="1" applyAlignment="1">
      <alignment horizontal="center"/>
    </xf>
    <xf numFmtId="0" fontId="35" fillId="37" borderId="45" xfId="0" applyFont="1" applyFill="1" applyBorder="1" applyAlignment="1">
      <alignment horizontal="center"/>
    </xf>
    <xf numFmtId="43" fontId="0" fillId="33" borderId="0" xfId="62" applyNumberFormat="1" applyFont="1" applyFill="1" applyBorder="1" applyAlignment="1">
      <alignment/>
    </xf>
    <xf numFmtId="208" fontId="4" fillId="0" borderId="0" xfId="0" applyNumberFormat="1" applyFont="1" applyAlignment="1">
      <alignment horizontal="center" wrapText="1"/>
    </xf>
    <xf numFmtId="43" fontId="4" fillId="0" borderId="0" xfId="0" applyNumberFormat="1" applyFont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showGridLines="0" tabSelected="1" zoomScalePageLayoutView="0" workbookViewId="0" topLeftCell="A1">
      <selection activeCell="A1" sqref="A1:K32"/>
    </sheetView>
  </sheetViews>
  <sheetFormatPr defaultColWidth="0" defaultRowHeight="12.75" zeroHeight="1"/>
  <cols>
    <col min="1" max="1" width="17.00390625" style="0" customWidth="1"/>
    <col min="2" max="11" width="15.00390625" style="0" customWidth="1"/>
    <col min="12" max="12" width="2.421875" style="0" customWidth="1"/>
    <col min="13" max="23" width="14.140625" style="0" hidden="1" customWidth="1"/>
    <col min="24" max="16384" width="0" style="0" hidden="1" customWidth="1"/>
  </cols>
  <sheetData>
    <row r="1" ht="18">
      <c r="A1" s="6" t="s">
        <v>81</v>
      </c>
    </row>
    <row r="2" ht="12.75">
      <c r="A2" s="144" t="s">
        <v>85</v>
      </c>
    </row>
    <row r="3" ht="12.75">
      <c r="A3" s="8" t="s">
        <v>77</v>
      </c>
    </row>
    <row r="4" spans="1:12" ht="15.75">
      <c r="A4" s="28" t="s">
        <v>90</v>
      </c>
      <c r="B4" s="3"/>
      <c r="E4" s="3"/>
      <c r="K4" s="3"/>
      <c r="L4" s="3"/>
    </row>
    <row r="5" spans="2:10" ht="12.75">
      <c r="B5" s="3"/>
      <c r="C5" s="151"/>
      <c r="D5" s="3"/>
      <c r="F5" s="3"/>
      <c r="G5" s="3"/>
      <c r="H5" s="32"/>
      <c r="I5" s="3"/>
      <c r="J5" s="3"/>
    </row>
    <row r="6" spans="1:10" ht="12.75">
      <c r="A6" s="34" t="s">
        <v>7</v>
      </c>
      <c r="D6" s="84"/>
      <c r="F6" s="3"/>
      <c r="G6" s="3"/>
      <c r="H6" s="3"/>
      <c r="I6" s="3"/>
      <c r="J6" s="3"/>
    </row>
    <row r="7" ht="13.5" thickBot="1"/>
    <row r="8" spans="1:12" ht="12.75" customHeight="1">
      <c r="A8" s="107" t="s">
        <v>40</v>
      </c>
      <c r="B8" s="108" t="s">
        <v>10</v>
      </c>
      <c r="C8" s="108" t="s">
        <v>0</v>
      </c>
      <c r="D8" s="108" t="s">
        <v>13</v>
      </c>
      <c r="E8" s="108" t="s">
        <v>15</v>
      </c>
      <c r="F8" s="108" t="s">
        <v>18</v>
      </c>
      <c r="G8" s="109" t="s">
        <v>20</v>
      </c>
      <c r="H8" s="110" t="s">
        <v>21</v>
      </c>
      <c r="I8" s="108" t="s">
        <v>24</v>
      </c>
      <c r="J8" s="111" t="s">
        <v>28</v>
      </c>
      <c r="K8" s="112" t="s">
        <v>30</v>
      </c>
      <c r="L8" s="5"/>
    </row>
    <row r="9" spans="1:12" ht="12.75" customHeight="1">
      <c r="A9" s="113" t="s">
        <v>9</v>
      </c>
      <c r="B9" s="24" t="s">
        <v>73</v>
      </c>
      <c r="C9" s="25" t="s">
        <v>11</v>
      </c>
      <c r="D9" s="25" t="s">
        <v>14</v>
      </c>
      <c r="E9" s="25" t="s">
        <v>16</v>
      </c>
      <c r="F9" s="25" t="s">
        <v>19</v>
      </c>
      <c r="G9" s="24" t="s">
        <v>41</v>
      </c>
      <c r="H9" s="26" t="s">
        <v>22</v>
      </c>
      <c r="I9" s="25" t="s">
        <v>25</v>
      </c>
      <c r="J9" s="26" t="s">
        <v>29</v>
      </c>
      <c r="K9" s="114" t="s">
        <v>31</v>
      </c>
      <c r="L9" s="22"/>
    </row>
    <row r="10" spans="1:12" s="1" customFormat="1" ht="13.5" thickBot="1">
      <c r="A10" s="115" t="s">
        <v>1</v>
      </c>
      <c r="B10" s="116" t="s">
        <v>2</v>
      </c>
      <c r="C10" s="116" t="s">
        <v>3</v>
      </c>
      <c r="D10" s="117" t="s">
        <v>12</v>
      </c>
      <c r="E10" s="117" t="s">
        <v>17</v>
      </c>
      <c r="F10" s="117" t="s">
        <v>4</v>
      </c>
      <c r="G10" s="117" t="s">
        <v>33</v>
      </c>
      <c r="H10" s="117" t="s">
        <v>34</v>
      </c>
      <c r="I10" s="117" t="s">
        <v>23</v>
      </c>
      <c r="J10" s="117" t="s">
        <v>5</v>
      </c>
      <c r="K10" s="118" t="s">
        <v>6</v>
      </c>
      <c r="L10" s="22"/>
    </row>
    <row r="11" spans="1:12" ht="12.75">
      <c r="A11" s="96">
        <v>2008</v>
      </c>
      <c r="B11" s="97">
        <f>11335.14+16000</f>
        <v>27335.14</v>
      </c>
      <c r="C11" s="97">
        <v>0</v>
      </c>
      <c r="D11" s="98">
        <f>C11+B11</f>
        <v>27335.14</v>
      </c>
      <c r="E11" s="99">
        <v>797.1826744058926</v>
      </c>
      <c r="F11" s="100">
        <v>5</v>
      </c>
      <c r="G11" s="101">
        <f aca="true" t="shared" si="0" ref="G11:G17">+D11/F11</f>
        <v>5467.028</v>
      </c>
      <c r="H11" s="102">
        <f aca="true" t="shared" si="1" ref="H11:H17">+F11/E11</f>
        <v>0.006272088143067451</v>
      </c>
      <c r="I11" s="101">
        <f aca="true" t="shared" si="2" ref="I11:I16">+G11*H11</f>
        <v>34.28968149661777</v>
      </c>
      <c r="J11" s="93">
        <v>1</v>
      </c>
      <c r="K11" s="103">
        <f aca="true" t="shared" si="3" ref="K11:K18">+J11*I11</f>
        <v>34.28968149661777</v>
      </c>
      <c r="L11" s="2"/>
    </row>
    <row r="12" spans="1:12" ht="12.75">
      <c r="A12" s="104">
        <v>2009</v>
      </c>
      <c r="B12" s="89">
        <f>8060.7+7190</f>
        <v>15250.7</v>
      </c>
      <c r="C12" s="89">
        <v>0</v>
      </c>
      <c r="D12" s="17">
        <f>C12+B12</f>
        <v>15250.7</v>
      </c>
      <c r="E12" s="90">
        <v>1840.5842733547468</v>
      </c>
      <c r="F12" s="91">
        <v>2</v>
      </c>
      <c r="G12" s="92">
        <f t="shared" si="0"/>
        <v>7625.35</v>
      </c>
      <c r="H12" s="18">
        <f t="shared" si="1"/>
        <v>0.0010866114792748357</v>
      </c>
      <c r="I12" s="92">
        <f t="shared" si="2"/>
        <v>8.285792843488368</v>
      </c>
      <c r="J12" s="93">
        <v>1</v>
      </c>
      <c r="K12" s="105">
        <f t="shared" si="3"/>
        <v>8.285792843488368</v>
      </c>
      <c r="L12" s="2"/>
    </row>
    <row r="13" spans="1:12" ht="12.75">
      <c r="A13" s="106">
        <v>2010</v>
      </c>
      <c r="B13" s="89">
        <f>0+193622-122727</f>
        <v>70895</v>
      </c>
      <c r="C13" s="89">
        <v>0</v>
      </c>
      <c r="D13" s="17">
        <f aca="true" t="shared" si="4" ref="D13:D19">+B13+C13</f>
        <v>70895</v>
      </c>
      <c r="E13" s="94">
        <v>1652.0698718651554</v>
      </c>
      <c r="F13" s="95">
        <f>20</f>
        <v>20</v>
      </c>
      <c r="G13" s="92">
        <f t="shared" si="0"/>
        <v>3544.75</v>
      </c>
      <c r="H13" s="18">
        <f t="shared" si="1"/>
        <v>0.01210602550206934</v>
      </c>
      <c r="I13" s="92">
        <f t="shared" si="2"/>
        <v>42.91283389846029</v>
      </c>
      <c r="J13" s="93">
        <v>1</v>
      </c>
      <c r="K13" s="105">
        <f t="shared" si="3"/>
        <v>42.91283389846029</v>
      </c>
      <c r="L13" s="23"/>
    </row>
    <row r="14" spans="1:12" ht="12.75">
      <c r="A14" s="106">
        <v>2011</v>
      </c>
      <c r="B14" s="89">
        <f>16454.12+392887-224711</f>
        <v>184630.12</v>
      </c>
      <c r="C14" s="89">
        <v>0</v>
      </c>
      <c r="D14" s="17">
        <f t="shared" si="4"/>
        <v>184630.12</v>
      </c>
      <c r="E14" s="94">
        <v>2973.6693680868384</v>
      </c>
      <c r="F14" s="95">
        <f>23+25</f>
        <v>48</v>
      </c>
      <c r="G14" s="92">
        <f t="shared" si="0"/>
        <v>3846.460833333333</v>
      </c>
      <c r="H14" s="18">
        <f t="shared" si="1"/>
        <v>0.016141673487688926</v>
      </c>
      <c r="I14" s="92">
        <f t="shared" si="2"/>
        <v>62.088314854850516</v>
      </c>
      <c r="J14" s="93">
        <v>1</v>
      </c>
      <c r="K14" s="105">
        <f t="shared" si="3"/>
        <v>62.088314854850516</v>
      </c>
      <c r="L14" s="23"/>
    </row>
    <row r="15" spans="1:12" ht="12.75">
      <c r="A15" s="104">
        <v>2012</v>
      </c>
      <c r="B15" s="89">
        <f>11191.01+50100</f>
        <v>61291.01</v>
      </c>
      <c r="C15" s="89">
        <v>0</v>
      </c>
      <c r="D15" s="17">
        <f t="shared" si="4"/>
        <v>61291.01</v>
      </c>
      <c r="E15" s="94">
        <v>2763.9469937581916</v>
      </c>
      <c r="F15" s="95">
        <f>17+37+5+48</f>
        <v>107</v>
      </c>
      <c r="G15" s="92">
        <f t="shared" si="0"/>
        <v>572.8131775700934</v>
      </c>
      <c r="H15" s="18">
        <f t="shared" si="1"/>
        <v>0.03871275398610668</v>
      </c>
      <c r="I15" s="92">
        <f t="shared" si="2"/>
        <v>22.175175623271066</v>
      </c>
      <c r="J15" s="93">
        <v>1</v>
      </c>
      <c r="K15" s="105">
        <f t="shared" si="3"/>
        <v>22.175175623271066</v>
      </c>
      <c r="L15" s="2"/>
    </row>
    <row r="16" spans="1:12" ht="12.75">
      <c r="A16" s="104">
        <v>2013</v>
      </c>
      <c r="B16" s="89">
        <f>16438.25+34000</f>
        <v>50438.25</v>
      </c>
      <c r="C16" s="89">
        <v>69476.8</v>
      </c>
      <c r="D16" s="17">
        <f t="shared" si="4"/>
        <v>119915.05</v>
      </c>
      <c r="E16" s="94">
        <v>2523</v>
      </c>
      <c r="F16" s="95">
        <f>89+17</f>
        <v>106</v>
      </c>
      <c r="G16" s="92">
        <f t="shared" si="0"/>
        <v>1131.2740566037737</v>
      </c>
      <c r="H16" s="18">
        <f t="shared" si="1"/>
        <v>0.04201347602061038</v>
      </c>
      <c r="I16" s="92">
        <f t="shared" si="2"/>
        <v>47.52875544986128</v>
      </c>
      <c r="J16" s="93">
        <v>1</v>
      </c>
      <c r="K16" s="105">
        <f t="shared" si="3"/>
        <v>47.52875544986128</v>
      </c>
      <c r="L16" s="2"/>
    </row>
    <row r="17" spans="1:12" ht="12.75">
      <c r="A17" s="104">
        <v>2014</v>
      </c>
      <c r="B17" s="89">
        <f>13401.56+109395</f>
        <v>122796.56</v>
      </c>
      <c r="C17" s="89">
        <v>69476.8</v>
      </c>
      <c r="D17" s="17">
        <f t="shared" si="4"/>
        <v>192273.36</v>
      </c>
      <c r="E17" s="94">
        <v>2068</v>
      </c>
      <c r="F17" s="95">
        <v>109</v>
      </c>
      <c r="G17" s="92">
        <f t="shared" si="0"/>
        <v>1763.9757798165135</v>
      </c>
      <c r="H17" s="18">
        <f t="shared" si="1"/>
        <v>0.05270793036750483</v>
      </c>
      <c r="I17" s="92">
        <f>+G17*H17</f>
        <v>92.97551257253383</v>
      </c>
      <c r="J17" s="93">
        <v>1</v>
      </c>
      <c r="K17" s="105">
        <f t="shared" si="3"/>
        <v>92.97551257253383</v>
      </c>
      <c r="L17" s="2"/>
    </row>
    <row r="18" spans="1:12" ht="12.75">
      <c r="A18" s="104">
        <v>2015</v>
      </c>
      <c r="B18" s="89">
        <f>1361521.3+102352-1339252</f>
        <v>124621.30000000005</v>
      </c>
      <c r="C18" s="89">
        <v>69476.8</v>
      </c>
      <c r="D18" s="17">
        <f t="shared" si="4"/>
        <v>194098.10000000003</v>
      </c>
      <c r="E18" s="94">
        <v>2396</v>
      </c>
      <c r="F18" s="95">
        <f>46+60+3</f>
        <v>109</v>
      </c>
      <c r="G18" s="92">
        <f>+D18/F18</f>
        <v>1780.7165137614681</v>
      </c>
      <c r="H18" s="18">
        <f>+F18/E18</f>
        <v>0.045492487479131885</v>
      </c>
      <c r="I18" s="92">
        <f>+G18*H18</f>
        <v>81.00922370617697</v>
      </c>
      <c r="J18" s="93">
        <v>1</v>
      </c>
      <c r="K18" s="105">
        <f t="shared" si="3"/>
        <v>81.00922370617697</v>
      </c>
      <c r="L18" s="2"/>
    </row>
    <row r="19" spans="1:12" ht="13.5" thickBot="1">
      <c r="A19" s="145">
        <v>2016</v>
      </c>
      <c r="B19" s="146">
        <f>148131.79+137316</f>
        <v>285447.79000000004</v>
      </c>
      <c r="C19" s="146">
        <v>69476.8</v>
      </c>
      <c r="D19" s="17">
        <f t="shared" si="4"/>
        <v>354924.59</v>
      </c>
      <c r="E19" s="147">
        <v>2336</v>
      </c>
      <c r="F19" s="148">
        <f>127+20</f>
        <v>147</v>
      </c>
      <c r="G19" s="92">
        <f>+D19/F19</f>
        <v>2414.4529931972793</v>
      </c>
      <c r="H19" s="18">
        <f>+F19/E19</f>
        <v>0.06292808219178082</v>
      </c>
      <c r="I19" s="92">
        <f>+G19*H19</f>
        <v>151.9368964041096</v>
      </c>
      <c r="J19" s="93">
        <v>1.1</v>
      </c>
      <c r="K19" s="149">
        <f>+J19*I19</f>
        <v>167.13058604452058</v>
      </c>
      <c r="L19" s="2"/>
    </row>
    <row r="20" spans="1:12" ht="13.5" thickBot="1">
      <c r="A20" s="145">
        <v>2017</v>
      </c>
      <c r="B20" s="146">
        <f>127740.02+256193</f>
        <v>383933.02</v>
      </c>
      <c r="C20" s="146">
        <v>69476.8</v>
      </c>
      <c r="D20" s="17">
        <f>+B20+C20</f>
        <v>453409.82</v>
      </c>
      <c r="E20" s="147">
        <f>1969+446</f>
        <v>2415</v>
      </c>
      <c r="F20" s="148">
        <f>89+48</f>
        <v>137</v>
      </c>
      <c r="G20" s="92">
        <f>+D20/F20</f>
        <v>3309.5607299270073</v>
      </c>
      <c r="H20" s="18">
        <f>+F20/E20</f>
        <v>0.0567287784679089</v>
      </c>
      <c r="I20" s="92">
        <f>+G20*H20</f>
        <v>187.74733747412006</v>
      </c>
      <c r="J20" s="93">
        <v>1.1</v>
      </c>
      <c r="K20" s="149">
        <f>+J20*I20</f>
        <v>206.5220712215321</v>
      </c>
      <c r="L20" s="2"/>
    </row>
    <row r="21" spans="5:8" ht="12.75">
      <c r="E21" s="7"/>
      <c r="F21" s="7"/>
      <c r="G21" s="7"/>
      <c r="H21" s="7"/>
    </row>
    <row r="22" spans="1:12" ht="12.75">
      <c r="A22" s="4" t="s">
        <v>8</v>
      </c>
      <c r="B22" s="12">
        <f>SUM(B11:B20)</f>
        <v>1326638.8900000001</v>
      </c>
      <c r="C22" s="12">
        <f>SUM(C11:C20)</f>
        <v>347384</v>
      </c>
      <c r="D22" s="12">
        <f>SUM(D11:D20)</f>
        <v>1674022.8900000001</v>
      </c>
      <c r="E22" s="12">
        <f>SUM(E11:E20)</f>
        <v>21765.453181470824</v>
      </c>
      <c r="F22" s="12">
        <f>SUM(F11:F20)</f>
        <v>790</v>
      </c>
      <c r="G22" s="17">
        <f>+D22/F22</f>
        <v>2119.016316455696</v>
      </c>
      <c r="H22" s="18">
        <f>+F22/E22</f>
        <v>0.03629605105914063</v>
      </c>
      <c r="I22" s="17">
        <f>+G22*H22</f>
        <v>76.91192441722805</v>
      </c>
      <c r="J22" s="2"/>
      <c r="K22" s="5"/>
      <c r="L22" s="5"/>
    </row>
    <row r="23" spans="2:12" ht="12" customHeight="1">
      <c r="B23" s="3"/>
      <c r="C23" s="38"/>
      <c r="D23" s="85"/>
      <c r="E23" s="167"/>
      <c r="F23" s="168"/>
      <c r="G23" s="3"/>
      <c r="I23" s="3"/>
      <c r="J23" s="3"/>
      <c r="K23" s="3"/>
      <c r="L23" s="3"/>
    </row>
    <row r="24" spans="1:12" ht="12.75">
      <c r="A24" s="141" t="s">
        <v>82</v>
      </c>
      <c r="B24" s="140"/>
      <c r="C24" s="138"/>
      <c r="D24" s="139"/>
      <c r="E24" s="143">
        <v>0.011</v>
      </c>
      <c r="F24" s="38"/>
      <c r="H24" s="8" t="s">
        <v>35</v>
      </c>
      <c r="I24" s="8"/>
      <c r="J24" s="8"/>
      <c r="K24" s="133">
        <f>AVERAGE(K11:K20)</f>
        <v>76.49179477113128</v>
      </c>
      <c r="L24" s="3"/>
    </row>
    <row r="25" spans="1:12" ht="12.75">
      <c r="A25" s="141" t="s">
        <v>83</v>
      </c>
      <c r="B25" s="140"/>
      <c r="C25" s="138"/>
      <c r="D25" s="139"/>
      <c r="E25" s="142">
        <v>0.011</v>
      </c>
      <c r="F25" s="38"/>
      <c r="H25" s="13"/>
      <c r="J25" s="8"/>
      <c r="K25" s="39"/>
      <c r="L25" s="20"/>
    </row>
    <row r="26" spans="1:12" ht="12.75">
      <c r="A26" s="141" t="s">
        <v>27</v>
      </c>
      <c r="B26" s="138"/>
      <c r="C26" s="138"/>
      <c r="D26" s="139"/>
      <c r="E26" s="142">
        <v>0.011</v>
      </c>
      <c r="F26" s="38"/>
      <c r="H26" s="8" t="s">
        <v>36</v>
      </c>
      <c r="I26" s="8"/>
      <c r="J26" s="8"/>
      <c r="K26" s="69">
        <f>loading!C28</f>
        <v>0.13995983192746883</v>
      </c>
      <c r="L26" s="21"/>
    </row>
    <row r="27" spans="1:12" ht="12.75">
      <c r="A27" s="141" t="s">
        <v>84</v>
      </c>
      <c r="B27" s="138"/>
      <c r="C27" s="138"/>
      <c r="D27" s="139"/>
      <c r="E27" s="142">
        <v>0.011</v>
      </c>
      <c r="F27" s="38"/>
      <c r="H27" s="8"/>
      <c r="I27" s="9"/>
      <c r="J27" s="8"/>
      <c r="K27" s="33"/>
      <c r="L27" s="21"/>
    </row>
    <row r="28" spans="1:12" ht="12.75">
      <c r="A28" s="141" t="s">
        <v>26</v>
      </c>
      <c r="B28" s="138"/>
      <c r="C28" s="138"/>
      <c r="D28" s="139"/>
      <c r="E28" s="142">
        <v>0.011</v>
      </c>
      <c r="F28" s="38"/>
      <c r="H28" s="31" t="s">
        <v>37</v>
      </c>
      <c r="I28" s="8"/>
      <c r="J28" s="8"/>
      <c r="K28" s="36">
        <f>K24*(1+K26)</f>
        <v>87.19757351112926</v>
      </c>
      <c r="L28" s="21"/>
    </row>
    <row r="29" spans="1:12" ht="12.75">
      <c r="A29" s="119"/>
      <c r="B29" s="150"/>
      <c r="C29" s="2"/>
      <c r="D29" s="2"/>
      <c r="E29" s="120"/>
      <c r="F29" s="38"/>
      <c r="H29" s="31"/>
      <c r="I29" s="8"/>
      <c r="J29" s="8"/>
      <c r="K29" s="36"/>
      <c r="L29" s="21"/>
    </row>
    <row r="30" spans="1:12" ht="12.75">
      <c r="A30" s="127" t="s">
        <v>79</v>
      </c>
      <c r="B30" s="152"/>
      <c r="C30" s="2"/>
      <c r="D30" s="2"/>
      <c r="E30" s="27"/>
      <c r="F30" s="37"/>
      <c r="L30" s="20"/>
    </row>
    <row r="31" spans="1:12" ht="12.75">
      <c r="A31" s="128" t="s">
        <v>80</v>
      </c>
      <c r="B31" s="2"/>
      <c r="C31" s="2"/>
      <c r="D31" s="2"/>
      <c r="E31" s="122"/>
      <c r="H31" s="8"/>
      <c r="I31" s="8"/>
      <c r="J31" s="8"/>
      <c r="K31" s="43"/>
      <c r="L31" s="14"/>
    </row>
    <row r="32" spans="1:12" s="48" customFormat="1" ht="12.75">
      <c r="A32" s="129" t="s">
        <v>81</v>
      </c>
      <c r="B32" s="45"/>
      <c r="C32" s="45"/>
      <c r="D32" s="45"/>
      <c r="E32" s="126"/>
      <c r="H32" s="74"/>
      <c r="I32" s="74"/>
      <c r="J32" s="74"/>
      <c r="K32" s="43"/>
      <c r="L32" s="121"/>
    </row>
    <row r="33" spans="1:12" s="48" customFormat="1" ht="12.75">
      <c r="A33" s="125"/>
      <c r="B33" s="45"/>
      <c r="C33" s="45"/>
      <c r="D33" s="45"/>
      <c r="E33" s="126"/>
      <c r="H33" s="74"/>
      <c r="I33" s="74"/>
      <c r="J33" s="74"/>
      <c r="K33" s="43"/>
      <c r="L33" s="121"/>
    </row>
    <row r="34" spans="1:12" ht="12.75">
      <c r="A34" s="10"/>
      <c r="B34" s="2"/>
      <c r="C34" s="2"/>
      <c r="D34" s="2"/>
      <c r="E34" s="122"/>
      <c r="H34" s="8"/>
      <c r="I34" s="8"/>
      <c r="J34" s="8"/>
      <c r="K34" s="43"/>
      <c r="L34" s="14"/>
    </row>
    <row r="35" spans="1:12" ht="12.75">
      <c r="A35" s="123" t="s">
        <v>32</v>
      </c>
      <c r="B35" s="68"/>
      <c r="C35" s="68"/>
      <c r="D35" s="124"/>
      <c r="E35" s="137">
        <v>43373</v>
      </c>
      <c r="F35" s="15"/>
      <c r="H35" s="8"/>
      <c r="I35" s="8"/>
      <c r="J35" s="8"/>
      <c r="K35" s="11"/>
      <c r="L35" s="11"/>
    </row>
    <row r="36" spans="1:12" ht="12.75">
      <c r="A36" s="29"/>
      <c r="B36" s="2"/>
      <c r="C36" s="2"/>
      <c r="D36" s="2"/>
      <c r="E36" s="30"/>
      <c r="L36" s="19"/>
    </row>
    <row r="37" spans="2:12" ht="12.75">
      <c r="B37" s="2"/>
      <c r="C37" s="2"/>
      <c r="D37" s="2"/>
      <c r="E37" s="30"/>
      <c r="L37" s="19"/>
    </row>
    <row r="38" spans="1:12" ht="12.75">
      <c r="A38" s="154" t="s">
        <v>39</v>
      </c>
      <c r="B38" s="157" t="s">
        <v>38</v>
      </c>
      <c r="C38" s="158"/>
      <c r="D38" s="158"/>
      <c r="E38" s="158"/>
      <c r="F38" s="159"/>
      <c r="H38" s="150"/>
      <c r="I38" s="2"/>
      <c r="J38" s="8"/>
      <c r="K38" s="19"/>
      <c r="L38" s="19"/>
    </row>
    <row r="39" spans="1:11" ht="12.75">
      <c r="A39" s="155"/>
      <c r="B39" s="160"/>
      <c r="C39" s="161"/>
      <c r="D39" s="161"/>
      <c r="E39" s="161"/>
      <c r="F39" s="162"/>
      <c r="G39" s="40"/>
      <c r="H39" s="152"/>
      <c r="I39" s="2"/>
      <c r="J39" s="86"/>
      <c r="K39" s="11"/>
    </row>
    <row r="40" spans="1:12" ht="12.75">
      <c r="A40" s="156"/>
      <c r="B40" s="134">
        <v>41820</v>
      </c>
      <c r="C40" s="134">
        <v>42185</v>
      </c>
      <c r="D40" s="134">
        <v>42551</v>
      </c>
      <c r="E40" s="135">
        <v>42916</v>
      </c>
      <c r="F40" s="135">
        <v>43287</v>
      </c>
      <c r="G40" s="40"/>
      <c r="H40" s="153"/>
      <c r="I40" s="78"/>
      <c r="J40" s="86"/>
      <c r="K40" s="41"/>
      <c r="L40" s="42">
        <f>K40+I40</f>
        <v>0</v>
      </c>
    </row>
    <row r="41" spans="1:11" ht="12.75">
      <c r="A41" s="136">
        <v>40724</v>
      </c>
      <c r="B41" s="35">
        <f>B40-A41</f>
        <v>1096</v>
      </c>
      <c r="C41" s="35">
        <f>C40-A42</f>
        <v>1095</v>
      </c>
      <c r="D41" s="35">
        <f aca="true" t="shared" si="5" ref="D41:F43">D$40-C$40</f>
        <v>366</v>
      </c>
      <c r="E41" s="35">
        <f t="shared" si="5"/>
        <v>365</v>
      </c>
      <c r="F41" s="35">
        <f t="shared" si="5"/>
        <v>371</v>
      </c>
      <c r="G41" s="40"/>
      <c r="H41" s="8"/>
      <c r="I41" s="78"/>
      <c r="J41" s="86"/>
      <c r="K41" s="41"/>
    </row>
    <row r="42" spans="1:11" ht="12.75">
      <c r="A42" s="136">
        <v>41090</v>
      </c>
      <c r="C42" s="35">
        <f>C40-A42</f>
        <v>1095</v>
      </c>
      <c r="D42" s="35">
        <f t="shared" si="5"/>
        <v>366</v>
      </c>
      <c r="E42" s="35">
        <f t="shared" si="5"/>
        <v>365</v>
      </c>
      <c r="F42" s="35">
        <f t="shared" si="5"/>
        <v>371</v>
      </c>
      <c r="G42" s="40"/>
      <c r="H42" s="76"/>
      <c r="I42" s="77"/>
      <c r="J42" s="86"/>
      <c r="K42" s="83"/>
    </row>
    <row r="43" spans="1:11" ht="12.75">
      <c r="A43" s="136">
        <v>41455</v>
      </c>
      <c r="D43" s="35">
        <f t="shared" si="5"/>
        <v>366</v>
      </c>
      <c r="E43" s="35">
        <f t="shared" si="5"/>
        <v>365</v>
      </c>
      <c r="F43" s="35">
        <f t="shared" si="5"/>
        <v>371</v>
      </c>
      <c r="G43" s="40"/>
      <c r="H43" s="8"/>
      <c r="I43" s="77"/>
      <c r="J43" s="86"/>
      <c r="K43" s="42"/>
    </row>
    <row r="44" spans="1:11" ht="12.75">
      <c r="A44" s="136">
        <v>41820</v>
      </c>
      <c r="E44" s="35">
        <f>E$40-D$40</f>
        <v>365</v>
      </c>
      <c r="F44" s="35">
        <f>F$40-E$40</f>
        <v>371</v>
      </c>
      <c r="G44" s="40"/>
      <c r="H44" s="8"/>
      <c r="I44" s="7"/>
      <c r="J44" s="86"/>
      <c r="K44" s="38"/>
    </row>
    <row r="45" spans="1:11" ht="12.75">
      <c r="A45" s="136">
        <v>42185</v>
      </c>
      <c r="B45" s="16"/>
      <c r="C45" s="16"/>
      <c r="F45" s="35">
        <f>F$40-E$40</f>
        <v>371</v>
      </c>
      <c r="G45" s="42"/>
      <c r="H45" s="42"/>
      <c r="I45" s="42"/>
      <c r="J45" s="42"/>
      <c r="K45" s="42"/>
    </row>
    <row r="46" spans="8:9" ht="12.75">
      <c r="H46" s="11"/>
      <c r="I46" s="38"/>
    </row>
    <row r="47" spans="2:9" ht="12.75">
      <c r="B47" s="8" t="s">
        <v>91</v>
      </c>
      <c r="C47" s="8" t="s">
        <v>92</v>
      </c>
      <c r="E47" s="8" t="s">
        <v>87</v>
      </c>
      <c r="I47" s="42"/>
    </row>
    <row r="48" spans="1:10" ht="12.75">
      <c r="A48" s="8" t="s">
        <v>86</v>
      </c>
      <c r="B48" s="38">
        <v>427273</v>
      </c>
      <c r="C48" s="38">
        <v>122727</v>
      </c>
      <c r="D48" s="38">
        <f>B48+C48</f>
        <v>550000</v>
      </c>
      <c r="E48">
        <v>2010</v>
      </c>
      <c r="I48" s="42"/>
      <c r="J48" s="8"/>
    </row>
    <row r="49" spans="1:5" ht="12.75">
      <c r="A49" s="8" t="s">
        <v>88</v>
      </c>
      <c r="B49">
        <v>0</v>
      </c>
      <c r="C49" s="38">
        <v>224711</v>
      </c>
      <c r="D49" s="38">
        <f>B49+C49</f>
        <v>224711</v>
      </c>
      <c r="E49">
        <v>2011</v>
      </c>
    </row>
    <row r="50" spans="1:5" ht="12.75">
      <c r="A50" s="8" t="s">
        <v>89</v>
      </c>
      <c r="B50" s="38">
        <v>1339252.07</v>
      </c>
      <c r="C50" s="38">
        <v>0</v>
      </c>
      <c r="D50" s="38">
        <f>B50+C50</f>
        <v>1339252.07</v>
      </c>
      <c r="E50">
        <v>2015</v>
      </c>
    </row>
    <row r="51" ht="12.75"/>
  </sheetData>
  <sheetProtection/>
  <mergeCells count="2">
    <mergeCell ref="A38:A40"/>
    <mergeCell ref="B38:F39"/>
  </mergeCells>
  <printOptions horizontalCentered="1"/>
  <pageMargins left="0" right="0" top="0" bottom="0" header="0" footer="0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5"/>
  <sheetViews>
    <sheetView zoomScalePageLayoutView="0" workbookViewId="0" topLeftCell="A64">
      <selection activeCell="A86" sqref="A86:M105"/>
    </sheetView>
  </sheetViews>
  <sheetFormatPr defaultColWidth="9.140625" defaultRowHeight="12.75"/>
  <cols>
    <col min="1" max="10" width="10.7109375" style="48" customWidth="1"/>
    <col min="11" max="11" width="7.57421875" style="48" bestFit="1" customWidth="1"/>
    <col min="12" max="12" width="8.57421875" style="48" bestFit="1" customWidth="1"/>
    <col min="13" max="13" width="8.28125" style="48" bestFit="1" customWidth="1"/>
    <col min="14" max="14" width="9.140625" style="48" customWidth="1"/>
    <col min="15" max="15" width="11.28125" style="48" bestFit="1" customWidth="1"/>
    <col min="16" max="16384" width="9.140625" style="48" customWidth="1"/>
  </cols>
  <sheetData>
    <row r="1" spans="1:13" ht="15.75" thickTop="1">
      <c r="A1" s="163" t="s">
        <v>93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5"/>
    </row>
    <row r="2" spans="1:13" ht="12.75">
      <c r="A2" s="44"/>
      <c r="B2" s="45" t="s">
        <v>42</v>
      </c>
      <c r="C2" s="45" t="s">
        <v>43</v>
      </c>
      <c r="D2" s="45" t="s">
        <v>44</v>
      </c>
      <c r="E2" s="45" t="s">
        <v>45</v>
      </c>
      <c r="F2" s="45" t="s">
        <v>46</v>
      </c>
      <c r="G2" s="45" t="s">
        <v>47</v>
      </c>
      <c r="H2" s="45" t="s">
        <v>48</v>
      </c>
      <c r="I2" s="45" t="s">
        <v>49</v>
      </c>
      <c r="J2" s="45" t="s">
        <v>50</v>
      </c>
      <c r="K2" s="45" t="s">
        <v>51</v>
      </c>
      <c r="L2" s="45" t="s">
        <v>52</v>
      </c>
      <c r="M2" s="46" t="s">
        <v>53</v>
      </c>
    </row>
    <row r="3" spans="1:14" ht="12.75">
      <c r="A3" s="44" t="s">
        <v>54</v>
      </c>
      <c r="B3" s="70">
        <v>12220</v>
      </c>
      <c r="C3" s="70">
        <v>2982</v>
      </c>
      <c r="D3" s="70">
        <v>0</v>
      </c>
      <c r="E3" s="70">
        <v>2556</v>
      </c>
      <c r="F3" s="70">
        <v>0</v>
      </c>
      <c r="G3" s="70">
        <v>0</v>
      </c>
      <c r="H3" s="70">
        <v>274</v>
      </c>
      <c r="I3" s="70">
        <v>0</v>
      </c>
      <c r="J3" s="70">
        <v>0</v>
      </c>
      <c r="K3" s="70">
        <v>0</v>
      </c>
      <c r="L3" s="70">
        <v>0</v>
      </c>
      <c r="M3" s="71">
        <v>1200</v>
      </c>
      <c r="N3" s="88"/>
    </row>
    <row r="4" spans="1:14" ht="12.75">
      <c r="A4" s="44" t="s">
        <v>55</v>
      </c>
      <c r="B4" s="70">
        <v>56</v>
      </c>
      <c r="C4" s="70">
        <v>4</v>
      </c>
      <c r="D4" s="70">
        <v>0</v>
      </c>
      <c r="E4" s="70">
        <v>19</v>
      </c>
      <c r="F4" s="70">
        <v>0</v>
      </c>
      <c r="G4" s="70">
        <v>0</v>
      </c>
      <c r="H4" s="70">
        <v>0</v>
      </c>
      <c r="I4" s="70">
        <v>0</v>
      </c>
      <c r="J4" s="70">
        <v>0</v>
      </c>
      <c r="K4" s="70">
        <v>0</v>
      </c>
      <c r="L4" s="70">
        <v>0</v>
      </c>
      <c r="M4" s="71">
        <v>1</v>
      </c>
      <c r="N4" s="88"/>
    </row>
    <row r="5" spans="1:14" ht="12.75">
      <c r="A5" s="44" t="s">
        <v>56</v>
      </c>
      <c r="B5" s="70">
        <v>29</v>
      </c>
      <c r="C5" s="70">
        <v>1</v>
      </c>
      <c r="D5" s="70">
        <v>0</v>
      </c>
      <c r="E5" s="70">
        <v>3</v>
      </c>
      <c r="F5" s="70">
        <v>0</v>
      </c>
      <c r="G5" s="70">
        <v>0</v>
      </c>
      <c r="H5" s="70">
        <v>0</v>
      </c>
      <c r="I5" s="70">
        <v>0</v>
      </c>
      <c r="J5" s="70">
        <v>0</v>
      </c>
      <c r="K5" s="70">
        <v>0</v>
      </c>
      <c r="L5" s="70">
        <v>0</v>
      </c>
      <c r="M5" s="71">
        <v>1</v>
      </c>
      <c r="N5" s="88"/>
    </row>
    <row r="6" spans="1:15" ht="12.75">
      <c r="A6" s="44" t="s">
        <v>57</v>
      </c>
      <c r="B6" s="70">
        <v>14</v>
      </c>
      <c r="C6" s="70">
        <v>1</v>
      </c>
      <c r="D6" s="70">
        <v>0</v>
      </c>
      <c r="E6" s="70">
        <v>3</v>
      </c>
      <c r="F6" s="70">
        <v>0</v>
      </c>
      <c r="G6" s="70">
        <v>0</v>
      </c>
      <c r="H6" s="70">
        <v>0</v>
      </c>
      <c r="I6" s="70">
        <v>0</v>
      </c>
      <c r="J6" s="70">
        <v>0</v>
      </c>
      <c r="K6" s="70">
        <v>0</v>
      </c>
      <c r="L6" s="70">
        <v>0</v>
      </c>
      <c r="M6" s="71">
        <v>1</v>
      </c>
      <c r="N6" s="88"/>
      <c r="O6" s="67"/>
    </row>
    <row r="7" spans="1:14" ht="12.75">
      <c r="A7" s="44" t="s">
        <v>58</v>
      </c>
      <c r="B7" s="70">
        <v>11</v>
      </c>
      <c r="C7" s="70">
        <v>1</v>
      </c>
      <c r="D7" s="70">
        <v>0</v>
      </c>
      <c r="E7" s="70">
        <v>3</v>
      </c>
      <c r="F7" s="70">
        <v>0</v>
      </c>
      <c r="G7" s="70">
        <v>0</v>
      </c>
      <c r="H7" s="70">
        <v>1</v>
      </c>
      <c r="I7" s="70">
        <v>0</v>
      </c>
      <c r="J7" s="70">
        <v>0</v>
      </c>
      <c r="K7" s="70">
        <v>0</v>
      </c>
      <c r="L7" s="70">
        <v>0</v>
      </c>
      <c r="M7" s="71">
        <v>46</v>
      </c>
      <c r="N7" s="88"/>
    </row>
    <row r="8" spans="1:14" ht="12.75">
      <c r="A8" s="44" t="s">
        <v>59</v>
      </c>
      <c r="B8" s="70">
        <v>0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1">
        <v>0</v>
      </c>
      <c r="N8" s="88"/>
    </row>
    <row r="9" spans="1:14" ht="12.75">
      <c r="A9" s="44" t="s">
        <v>60</v>
      </c>
      <c r="B9" s="70">
        <v>0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1">
        <v>0</v>
      </c>
      <c r="N9" s="88"/>
    </row>
    <row r="10" spans="1:14" ht="12.75">
      <c r="A10" s="44" t="s">
        <v>61</v>
      </c>
      <c r="B10" s="70">
        <v>2</v>
      </c>
      <c r="C10" s="70">
        <v>1</v>
      </c>
      <c r="D10" s="70">
        <v>0</v>
      </c>
      <c r="E10" s="70">
        <v>3</v>
      </c>
      <c r="F10" s="70">
        <v>0</v>
      </c>
      <c r="G10" s="70">
        <v>0</v>
      </c>
      <c r="H10" s="70">
        <v>1</v>
      </c>
      <c r="I10" s="70">
        <v>0</v>
      </c>
      <c r="J10" s="70">
        <v>0</v>
      </c>
      <c r="K10" s="70">
        <v>0</v>
      </c>
      <c r="L10" s="70">
        <v>0</v>
      </c>
      <c r="M10" s="71">
        <v>46</v>
      </c>
      <c r="N10" s="88"/>
    </row>
    <row r="11" spans="1:14" ht="12.75">
      <c r="A11" s="44" t="s">
        <v>62</v>
      </c>
      <c r="B11" s="70">
        <v>2</v>
      </c>
      <c r="C11" s="70">
        <v>0</v>
      </c>
      <c r="D11" s="70">
        <v>0</v>
      </c>
      <c r="E11" s="70">
        <v>1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1">
        <v>1</v>
      </c>
      <c r="N11" s="88"/>
    </row>
    <row r="12" spans="1:14" ht="12.75">
      <c r="A12" s="44" t="s">
        <v>63</v>
      </c>
      <c r="B12" s="70">
        <v>13</v>
      </c>
      <c r="C12" s="70">
        <v>3</v>
      </c>
      <c r="D12" s="70">
        <v>0</v>
      </c>
      <c r="E12" s="70">
        <v>1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1">
        <v>1</v>
      </c>
      <c r="N12" s="88"/>
    </row>
    <row r="13" spans="1:14" ht="12.75">
      <c r="A13" s="44" t="s">
        <v>64</v>
      </c>
      <c r="B13" s="70">
        <v>148</v>
      </c>
      <c r="C13" s="70">
        <v>12</v>
      </c>
      <c r="D13" s="70">
        <v>0</v>
      </c>
      <c r="E13" s="70">
        <v>14</v>
      </c>
      <c r="F13" s="70">
        <v>0</v>
      </c>
      <c r="G13" s="70">
        <v>0</v>
      </c>
      <c r="H13" s="70">
        <v>2</v>
      </c>
      <c r="I13" s="70">
        <v>0</v>
      </c>
      <c r="J13" s="70">
        <v>0</v>
      </c>
      <c r="K13" s="70">
        <v>0</v>
      </c>
      <c r="L13" s="70">
        <v>0</v>
      </c>
      <c r="M13" s="71">
        <v>68</v>
      </c>
      <c r="N13" s="88"/>
    </row>
    <row r="14" spans="1:14" ht="12.75">
      <c r="A14" s="44" t="s">
        <v>65</v>
      </c>
      <c r="B14" s="70">
        <v>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1">
        <v>0</v>
      </c>
      <c r="N14" s="88"/>
    </row>
    <row r="15" spans="1:14" ht="13.5" thickBot="1">
      <c r="A15" s="47" t="s">
        <v>66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0">
        <v>0</v>
      </c>
      <c r="J15" s="70">
        <v>0</v>
      </c>
      <c r="K15" s="70">
        <v>0</v>
      </c>
      <c r="L15" s="70">
        <v>0</v>
      </c>
      <c r="M15" s="71">
        <v>0</v>
      </c>
      <c r="N15" s="88"/>
    </row>
    <row r="16" ht="13.5" thickTop="1">
      <c r="N16" s="88"/>
    </row>
    <row r="17" ht="13.5" thickBot="1"/>
    <row r="18" spans="1:13" ht="15.75" thickTop="1">
      <c r="A18" s="163" t="s">
        <v>94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5"/>
    </row>
    <row r="19" spans="1:13" ht="12.75">
      <c r="A19" s="44"/>
      <c r="B19" s="45" t="s">
        <v>42</v>
      </c>
      <c r="C19" s="45" t="s">
        <v>43</v>
      </c>
      <c r="D19" s="45" t="s">
        <v>44</v>
      </c>
      <c r="E19" s="45" t="s">
        <v>45</v>
      </c>
      <c r="F19" s="45" t="s">
        <v>46</v>
      </c>
      <c r="G19" s="45" t="s">
        <v>47</v>
      </c>
      <c r="H19" s="45" t="s">
        <v>48</v>
      </c>
      <c r="I19" s="45" t="s">
        <v>49</v>
      </c>
      <c r="J19" s="45" t="s">
        <v>50</v>
      </c>
      <c r="K19" s="45" t="s">
        <v>51</v>
      </c>
      <c r="L19" s="45" t="s">
        <v>52</v>
      </c>
      <c r="M19" s="46" t="s">
        <v>53</v>
      </c>
    </row>
    <row r="20" spans="1:13" ht="12.75">
      <c r="A20" s="44" t="s">
        <v>54</v>
      </c>
      <c r="B20" s="57">
        <f>B3/SUM($B$3:$M$15)</f>
        <v>0.6188595158513116</v>
      </c>
      <c r="C20" s="57">
        <f aca="true" t="shared" si="0" ref="C20:M20">C3/SUM($B$3:$M$15)</f>
        <v>0.15101792768155575</v>
      </c>
      <c r="D20" s="57">
        <f t="shared" si="0"/>
        <v>0</v>
      </c>
      <c r="E20" s="57">
        <f t="shared" si="0"/>
        <v>0.12944393801276208</v>
      </c>
      <c r="F20" s="57">
        <f t="shared" si="0"/>
        <v>0</v>
      </c>
      <c r="G20" s="57">
        <f t="shared" si="0"/>
        <v>0</v>
      </c>
      <c r="H20" s="57">
        <f t="shared" si="0"/>
        <v>0.013876228096829738</v>
      </c>
      <c r="I20" s="57">
        <f t="shared" si="0"/>
        <v>0</v>
      </c>
      <c r="J20" s="57">
        <f t="shared" si="0"/>
        <v>0</v>
      </c>
      <c r="K20" s="57">
        <f t="shared" si="0"/>
        <v>0</v>
      </c>
      <c r="L20" s="57">
        <f t="shared" si="0"/>
        <v>0</v>
      </c>
      <c r="M20" s="58">
        <f t="shared" si="0"/>
        <v>0.060771801883925856</v>
      </c>
    </row>
    <row r="21" spans="1:13" ht="12.75">
      <c r="A21" s="44" t="s">
        <v>55</v>
      </c>
      <c r="B21" s="57">
        <f aca="true" t="shared" si="1" ref="B21:M21">B4/SUM($B$3:$M$15)</f>
        <v>0.0028360174212498732</v>
      </c>
      <c r="C21" s="57">
        <f t="shared" si="1"/>
        <v>0.00020257267294641952</v>
      </c>
      <c r="D21" s="57">
        <f t="shared" si="1"/>
        <v>0</v>
      </c>
      <c r="E21" s="57">
        <f t="shared" si="1"/>
        <v>0.0009622201964954928</v>
      </c>
      <c r="F21" s="57">
        <f t="shared" si="1"/>
        <v>0</v>
      </c>
      <c r="G21" s="57">
        <f t="shared" si="1"/>
        <v>0</v>
      </c>
      <c r="H21" s="57">
        <f t="shared" si="1"/>
        <v>0</v>
      </c>
      <c r="I21" s="57">
        <f t="shared" si="1"/>
        <v>0</v>
      </c>
      <c r="J21" s="57">
        <f t="shared" si="1"/>
        <v>0</v>
      </c>
      <c r="K21" s="57">
        <f t="shared" si="1"/>
        <v>0</v>
      </c>
      <c r="L21" s="57">
        <f t="shared" si="1"/>
        <v>0</v>
      </c>
      <c r="M21" s="58">
        <f t="shared" si="1"/>
        <v>5.064316823660488E-05</v>
      </c>
    </row>
    <row r="22" spans="1:13" ht="12.75">
      <c r="A22" s="44" t="s">
        <v>56</v>
      </c>
      <c r="B22" s="57">
        <f aca="true" t="shared" si="2" ref="B22:M22">B5/SUM($B$3:$M$15)</f>
        <v>0.0014686518788615416</v>
      </c>
      <c r="C22" s="57">
        <f t="shared" si="2"/>
        <v>5.064316823660488E-05</v>
      </c>
      <c r="D22" s="57">
        <f t="shared" si="2"/>
        <v>0</v>
      </c>
      <c r="E22" s="57">
        <f t="shared" si="2"/>
        <v>0.00015192950470981463</v>
      </c>
      <c r="F22" s="57">
        <f t="shared" si="2"/>
        <v>0</v>
      </c>
      <c r="G22" s="57">
        <f t="shared" si="2"/>
        <v>0</v>
      </c>
      <c r="H22" s="57">
        <f t="shared" si="2"/>
        <v>0</v>
      </c>
      <c r="I22" s="57">
        <f t="shared" si="2"/>
        <v>0</v>
      </c>
      <c r="J22" s="57">
        <f t="shared" si="2"/>
        <v>0</v>
      </c>
      <c r="K22" s="57">
        <f t="shared" si="2"/>
        <v>0</v>
      </c>
      <c r="L22" s="57">
        <f t="shared" si="2"/>
        <v>0</v>
      </c>
      <c r="M22" s="58">
        <f t="shared" si="2"/>
        <v>5.064316823660488E-05</v>
      </c>
    </row>
    <row r="23" spans="1:13" ht="12.75">
      <c r="A23" s="44" t="s">
        <v>57</v>
      </c>
      <c r="B23" s="57">
        <f aca="true" t="shared" si="3" ref="B23:M23">B6/SUM($B$3:$M$15)</f>
        <v>0.0007090043553124683</v>
      </c>
      <c r="C23" s="57">
        <f t="shared" si="3"/>
        <v>5.064316823660488E-05</v>
      </c>
      <c r="D23" s="57">
        <f t="shared" si="3"/>
        <v>0</v>
      </c>
      <c r="E23" s="57">
        <f t="shared" si="3"/>
        <v>0.00015192950470981463</v>
      </c>
      <c r="F23" s="57">
        <f t="shared" si="3"/>
        <v>0</v>
      </c>
      <c r="G23" s="57">
        <f t="shared" si="3"/>
        <v>0</v>
      </c>
      <c r="H23" s="57">
        <f t="shared" si="3"/>
        <v>0</v>
      </c>
      <c r="I23" s="57">
        <f t="shared" si="3"/>
        <v>0</v>
      </c>
      <c r="J23" s="57">
        <f t="shared" si="3"/>
        <v>0</v>
      </c>
      <c r="K23" s="57">
        <f t="shared" si="3"/>
        <v>0</v>
      </c>
      <c r="L23" s="57">
        <f t="shared" si="3"/>
        <v>0</v>
      </c>
      <c r="M23" s="58">
        <f t="shared" si="3"/>
        <v>5.064316823660488E-05</v>
      </c>
    </row>
    <row r="24" spans="1:13" ht="12.75">
      <c r="A24" s="44" t="s">
        <v>58</v>
      </c>
      <c r="B24" s="57">
        <f aca="true" t="shared" si="4" ref="B24:M24">B7/SUM($B$3:$M$15)</f>
        <v>0.0005570748506026537</v>
      </c>
      <c r="C24" s="57">
        <f t="shared" si="4"/>
        <v>5.064316823660488E-05</v>
      </c>
      <c r="D24" s="57">
        <f t="shared" si="4"/>
        <v>0</v>
      </c>
      <c r="E24" s="57">
        <f t="shared" si="4"/>
        <v>0.00015192950470981463</v>
      </c>
      <c r="F24" s="57">
        <f t="shared" si="4"/>
        <v>0</v>
      </c>
      <c r="G24" s="57">
        <f t="shared" si="4"/>
        <v>0</v>
      </c>
      <c r="H24" s="57">
        <f t="shared" si="4"/>
        <v>5.064316823660488E-05</v>
      </c>
      <c r="I24" s="57">
        <f t="shared" si="4"/>
        <v>0</v>
      </c>
      <c r="J24" s="57">
        <f t="shared" si="4"/>
        <v>0</v>
      </c>
      <c r="K24" s="57">
        <f t="shared" si="4"/>
        <v>0</v>
      </c>
      <c r="L24" s="57">
        <f t="shared" si="4"/>
        <v>0</v>
      </c>
      <c r="M24" s="58">
        <f t="shared" si="4"/>
        <v>0.0023295857388838247</v>
      </c>
    </row>
    <row r="25" spans="1:13" ht="12.75">
      <c r="A25" s="44" t="s">
        <v>59</v>
      </c>
      <c r="B25" s="57">
        <f aca="true" t="shared" si="5" ref="B25:M25">B8/SUM($B$3:$M$15)</f>
        <v>0</v>
      </c>
      <c r="C25" s="57">
        <f t="shared" si="5"/>
        <v>0</v>
      </c>
      <c r="D25" s="57">
        <f t="shared" si="5"/>
        <v>0</v>
      </c>
      <c r="E25" s="57">
        <f t="shared" si="5"/>
        <v>0</v>
      </c>
      <c r="F25" s="57">
        <f t="shared" si="5"/>
        <v>0</v>
      </c>
      <c r="G25" s="57">
        <f t="shared" si="5"/>
        <v>0</v>
      </c>
      <c r="H25" s="57">
        <f t="shared" si="5"/>
        <v>0</v>
      </c>
      <c r="I25" s="57">
        <f t="shared" si="5"/>
        <v>0</v>
      </c>
      <c r="J25" s="57">
        <f t="shared" si="5"/>
        <v>0</v>
      </c>
      <c r="K25" s="57">
        <f t="shared" si="5"/>
        <v>0</v>
      </c>
      <c r="L25" s="57">
        <f t="shared" si="5"/>
        <v>0</v>
      </c>
      <c r="M25" s="58">
        <f t="shared" si="5"/>
        <v>0</v>
      </c>
    </row>
    <row r="26" spans="1:13" ht="12.75">
      <c r="A26" s="44" t="s">
        <v>60</v>
      </c>
      <c r="B26" s="57">
        <f aca="true" t="shared" si="6" ref="B26:M26">B9/SUM($B$3:$M$15)</f>
        <v>0</v>
      </c>
      <c r="C26" s="57">
        <f t="shared" si="6"/>
        <v>0</v>
      </c>
      <c r="D26" s="57">
        <f t="shared" si="6"/>
        <v>0</v>
      </c>
      <c r="E26" s="57">
        <f t="shared" si="6"/>
        <v>0</v>
      </c>
      <c r="F26" s="57">
        <f t="shared" si="6"/>
        <v>0</v>
      </c>
      <c r="G26" s="57">
        <f t="shared" si="6"/>
        <v>0</v>
      </c>
      <c r="H26" s="57">
        <f t="shared" si="6"/>
        <v>0</v>
      </c>
      <c r="I26" s="57">
        <f t="shared" si="6"/>
        <v>0</v>
      </c>
      <c r="J26" s="57">
        <f t="shared" si="6"/>
        <v>0</v>
      </c>
      <c r="K26" s="57">
        <f t="shared" si="6"/>
        <v>0</v>
      </c>
      <c r="L26" s="57">
        <f t="shared" si="6"/>
        <v>0</v>
      </c>
      <c r="M26" s="58">
        <f t="shared" si="6"/>
        <v>0</v>
      </c>
    </row>
    <row r="27" spans="1:13" ht="12.75">
      <c r="A27" s="44" t="s">
        <v>61</v>
      </c>
      <c r="B27" s="57">
        <f aca="true" t="shared" si="7" ref="B27:M27">B10/SUM($B$3:$M$15)</f>
        <v>0.00010128633647320976</v>
      </c>
      <c r="C27" s="57">
        <f t="shared" si="7"/>
        <v>5.064316823660488E-05</v>
      </c>
      <c r="D27" s="57">
        <f t="shared" si="7"/>
        <v>0</v>
      </c>
      <c r="E27" s="57">
        <f t="shared" si="7"/>
        <v>0.00015192950470981463</v>
      </c>
      <c r="F27" s="57">
        <f t="shared" si="7"/>
        <v>0</v>
      </c>
      <c r="G27" s="57">
        <f t="shared" si="7"/>
        <v>0</v>
      </c>
      <c r="H27" s="57">
        <f t="shared" si="7"/>
        <v>5.064316823660488E-05</v>
      </c>
      <c r="I27" s="57">
        <f t="shared" si="7"/>
        <v>0</v>
      </c>
      <c r="J27" s="57">
        <f t="shared" si="7"/>
        <v>0</v>
      </c>
      <c r="K27" s="57">
        <f t="shared" si="7"/>
        <v>0</v>
      </c>
      <c r="L27" s="57">
        <f t="shared" si="7"/>
        <v>0</v>
      </c>
      <c r="M27" s="58">
        <f t="shared" si="7"/>
        <v>0.0023295857388838247</v>
      </c>
    </row>
    <row r="28" spans="1:13" ht="12.75">
      <c r="A28" s="44" t="s">
        <v>62</v>
      </c>
      <c r="B28" s="57">
        <f aca="true" t="shared" si="8" ref="B28:M28">B11/SUM($B$3:$M$15)</f>
        <v>0.00010128633647320976</v>
      </c>
      <c r="C28" s="57">
        <f t="shared" si="8"/>
        <v>0</v>
      </c>
      <c r="D28" s="57">
        <f t="shared" si="8"/>
        <v>0</v>
      </c>
      <c r="E28" s="57">
        <f t="shared" si="8"/>
        <v>5.064316823660488E-05</v>
      </c>
      <c r="F28" s="57">
        <f t="shared" si="8"/>
        <v>0</v>
      </c>
      <c r="G28" s="57">
        <f t="shared" si="8"/>
        <v>0</v>
      </c>
      <c r="H28" s="57">
        <f t="shared" si="8"/>
        <v>0</v>
      </c>
      <c r="I28" s="57">
        <f t="shared" si="8"/>
        <v>0</v>
      </c>
      <c r="J28" s="57">
        <f t="shared" si="8"/>
        <v>0</v>
      </c>
      <c r="K28" s="57">
        <f t="shared" si="8"/>
        <v>0</v>
      </c>
      <c r="L28" s="57">
        <f t="shared" si="8"/>
        <v>0</v>
      </c>
      <c r="M28" s="58">
        <f t="shared" si="8"/>
        <v>5.064316823660488E-05</v>
      </c>
    </row>
    <row r="29" spans="1:13" ht="12.75">
      <c r="A29" s="44" t="s">
        <v>63</v>
      </c>
      <c r="B29" s="57">
        <f aca="true" t="shared" si="9" ref="B29:M29">B12/SUM($B$3:$M$15)</f>
        <v>0.0006583611870758635</v>
      </c>
      <c r="C29" s="57">
        <f t="shared" si="9"/>
        <v>0.00015192950470981463</v>
      </c>
      <c r="D29" s="57">
        <f t="shared" si="9"/>
        <v>0</v>
      </c>
      <c r="E29" s="57">
        <f t="shared" si="9"/>
        <v>5.064316823660488E-05</v>
      </c>
      <c r="F29" s="57">
        <f t="shared" si="9"/>
        <v>0</v>
      </c>
      <c r="G29" s="57">
        <f t="shared" si="9"/>
        <v>0</v>
      </c>
      <c r="H29" s="57">
        <f t="shared" si="9"/>
        <v>0</v>
      </c>
      <c r="I29" s="57">
        <f t="shared" si="9"/>
        <v>0</v>
      </c>
      <c r="J29" s="57">
        <f t="shared" si="9"/>
        <v>0</v>
      </c>
      <c r="K29" s="57">
        <f t="shared" si="9"/>
        <v>0</v>
      </c>
      <c r="L29" s="57">
        <f t="shared" si="9"/>
        <v>0</v>
      </c>
      <c r="M29" s="58">
        <f t="shared" si="9"/>
        <v>5.064316823660488E-05</v>
      </c>
    </row>
    <row r="30" spans="1:15" ht="12.75">
      <c r="A30" s="44" t="s">
        <v>64</v>
      </c>
      <c r="B30" s="57">
        <f aca="true" t="shared" si="10" ref="B30:M30">B13/SUM($B$3:$M$15)</f>
        <v>0.007495188899017523</v>
      </c>
      <c r="C30" s="57">
        <f t="shared" si="10"/>
        <v>0.0006077180188392585</v>
      </c>
      <c r="D30" s="57">
        <f t="shared" si="10"/>
        <v>0</v>
      </c>
      <c r="E30" s="57">
        <f t="shared" si="10"/>
        <v>0.0007090043553124683</v>
      </c>
      <c r="F30" s="57">
        <f t="shared" si="10"/>
        <v>0</v>
      </c>
      <c r="G30" s="57">
        <f t="shared" si="10"/>
        <v>0</v>
      </c>
      <c r="H30" s="57">
        <f t="shared" si="10"/>
        <v>0.00010128633647320976</v>
      </c>
      <c r="I30" s="57">
        <f t="shared" si="10"/>
        <v>0</v>
      </c>
      <c r="J30" s="57">
        <f t="shared" si="10"/>
        <v>0</v>
      </c>
      <c r="K30" s="57">
        <f t="shared" si="10"/>
        <v>0</v>
      </c>
      <c r="L30" s="57">
        <f t="shared" si="10"/>
        <v>0</v>
      </c>
      <c r="M30" s="58">
        <f t="shared" si="10"/>
        <v>0.003443735440089132</v>
      </c>
      <c r="O30" s="65"/>
    </row>
    <row r="31" spans="1:13" ht="12.75">
      <c r="A31" s="44" t="s">
        <v>65</v>
      </c>
      <c r="B31" s="57">
        <f aca="true" t="shared" si="11" ref="B31:M31">B14/SUM($B$3:$M$15)</f>
        <v>0</v>
      </c>
      <c r="C31" s="57">
        <f t="shared" si="11"/>
        <v>0</v>
      </c>
      <c r="D31" s="57">
        <f t="shared" si="11"/>
        <v>0</v>
      </c>
      <c r="E31" s="57">
        <f t="shared" si="11"/>
        <v>0</v>
      </c>
      <c r="F31" s="57">
        <f t="shared" si="11"/>
        <v>0</v>
      </c>
      <c r="G31" s="57">
        <f t="shared" si="11"/>
        <v>0</v>
      </c>
      <c r="H31" s="57">
        <f t="shared" si="11"/>
        <v>0</v>
      </c>
      <c r="I31" s="57">
        <f t="shared" si="11"/>
        <v>0</v>
      </c>
      <c r="J31" s="57">
        <f t="shared" si="11"/>
        <v>0</v>
      </c>
      <c r="K31" s="57">
        <f t="shared" si="11"/>
        <v>0</v>
      </c>
      <c r="L31" s="57">
        <f t="shared" si="11"/>
        <v>0</v>
      </c>
      <c r="M31" s="58">
        <f t="shared" si="11"/>
        <v>0</v>
      </c>
    </row>
    <row r="32" spans="1:13" ht="13.5" thickBot="1">
      <c r="A32" s="47" t="s">
        <v>66</v>
      </c>
      <c r="B32" s="59">
        <f aca="true" t="shared" si="12" ref="B32:M32">B15/SUM($B$3:$M$15)</f>
        <v>0</v>
      </c>
      <c r="C32" s="59">
        <f t="shared" si="12"/>
        <v>0</v>
      </c>
      <c r="D32" s="59">
        <f t="shared" si="12"/>
        <v>0</v>
      </c>
      <c r="E32" s="59">
        <f t="shared" si="12"/>
        <v>0</v>
      </c>
      <c r="F32" s="59">
        <f t="shared" si="12"/>
        <v>0</v>
      </c>
      <c r="G32" s="59">
        <f t="shared" si="12"/>
        <v>0</v>
      </c>
      <c r="H32" s="59">
        <f t="shared" si="12"/>
        <v>0</v>
      </c>
      <c r="I32" s="59">
        <f t="shared" si="12"/>
        <v>0</v>
      </c>
      <c r="J32" s="59">
        <f t="shared" si="12"/>
        <v>0</v>
      </c>
      <c r="K32" s="59">
        <f t="shared" si="12"/>
        <v>0</v>
      </c>
      <c r="L32" s="59">
        <f t="shared" si="12"/>
        <v>0</v>
      </c>
      <c r="M32" s="60">
        <f t="shared" si="12"/>
        <v>0</v>
      </c>
    </row>
    <row r="33" ht="13.5" thickTop="1"/>
    <row r="34" ht="13.5" thickBot="1"/>
    <row r="35" spans="1:13" ht="15.75" thickTop="1">
      <c r="A35" s="163" t="s">
        <v>78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5"/>
    </row>
    <row r="36" spans="1:13" ht="12.75">
      <c r="A36" s="44"/>
      <c r="B36" s="45" t="s">
        <v>42</v>
      </c>
      <c r="C36" s="45" t="s">
        <v>43</v>
      </c>
      <c r="D36" s="45" t="s">
        <v>44</v>
      </c>
      <c r="E36" s="45" t="s">
        <v>45</v>
      </c>
      <c r="F36" s="45" t="s">
        <v>46</v>
      </c>
      <c r="G36" s="45" t="s">
        <v>47</v>
      </c>
      <c r="H36" s="45" t="s">
        <v>48</v>
      </c>
      <c r="I36" s="45" t="s">
        <v>49</v>
      </c>
      <c r="J36" s="45" t="s">
        <v>50</v>
      </c>
      <c r="K36" s="45" t="s">
        <v>51</v>
      </c>
      <c r="L36" s="45" t="s">
        <v>52</v>
      </c>
      <c r="M36" s="46" t="s">
        <v>53</v>
      </c>
    </row>
    <row r="37" spans="1:13" ht="12.75">
      <c r="A37" s="44" t="s">
        <v>54</v>
      </c>
      <c r="B37" s="131">
        <v>40</v>
      </c>
      <c r="C37" s="131">
        <v>65</v>
      </c>
      <c r="D37" s="131">
        <v>90</v>
      </c>
      <c r="E37" s="131">
        <v>130</v>
      </c>
      <c r="F37" s="131">
        <v>180</v>
      </c>
      <c r="G37" s="131">
        <v>220</v>
      </c>
      <c r="H37" s="131">
        <v>250</v>
      </c>
      <c r="I37" s="131">
        <v>300</v>
      </c>
      <c r="J37" s="131">
        <v>340</v>
      </c>
      <c r="K37" s="131">
        <v>390</v>
      </c>
      <c r="L37" s="131">
        <v>410</v>
      </c>
      <c r="M37" s="131">
        <v>410</v>
      </c>
    </row>
    <row r="38" spans="1:13" ht="12.75">
      <c r="A38" s="44" t="s">
        <v>55</v>
      </c>
      <c r="B38" s="131">
        <v>20</v>
      </c>
      <c r="C38" s="131">
        <v>25</v>
      </c>
      <c r="D38" s="131">
        <v>30</v>
      </c>
      <c r="E38" s="131">
        <v>40</v>
      </c>
      <c r="F38" s="131">
        <v>65</v>
      </c>
      <c r="G38" s="131">
        <v>80</v>
      </c>
      <c r="H38" s="131">
        <v>100</v>
      </c>
      <c r="I38" s="131">
        <v>120</v>
      </c>
      <c r="J38" s="131">
        <v>140</v>
      </c>
      <c r="K38" s="131">
        <v>170</v>
      </c>
      <c r="L38" s="131">
        <v>190</v>
      </c>
      <c r="M38" s="131">
        <v>190</v>
      </c>
    </row>
    <row r="39" spans="1:13" ht="12.75">
      <c r="A39" s="44" t="s">
        <v>56</v>
      </c>
      <c r="B39" s="131">
        <v>45</v>
      </c>
      <c r="C39" s="131">
        <v>65</v>
      </c>
      <c r="D39" s="131">
        <v>75</v>
      </c>
      <c r="E39" s="131">
        <v>100</v>
      </c>
      <c r="F39" s="131">
        <v>120</v>
      </c>
      <c r="G39" s="131">
        <v>170</v>
      </c>
      <c r="H39" s="131">
        <v>190</v>
      </c>
      <c r="I39" s="131">
        <v>220</v>
      </c>
      <c r="J39" s="131">
        <v>250</v>
      </c>
      <c r="K39" s="131">
        <v>260</v>
      </c>
      <c r="L39" s="131">
        <v>310</v>
      </c>
      <c r="M39" s="131">
        <v>310</v>
      </c>
    </row>
    <row r="40" spans="1:13" ht="12.75">
      <c r="A40" s="44" t="s">
        <v>57</v>
      </c>
      <c r="B40" s="131">
        <v>90</v>
      </c>
      <c r="C40" s="131">
        <v>145</v>
      </c>
      <c r="D40" s="131">
        <v>230</v>
      </c>
      <c r="E40" s="131">
        <v>310</v>
      </c>
      <c r="F40" s="131">
        <v>390</v>
      </c>
      <c r="G40" s="131">
        <v>480</v>
      </c>
      <c r="H40" s="131">
        <v>560</v>
      </c>
      <c r="I40" s="131">
        <v>640</v>
      </c>
      <c r="J40" s="131">
        <v>720</v>
      </c>
      <c r="K40" s="131">
        <v>810</v>
      </c>
      <c r="L40" s="131">
        <v>880</v>
      </c>
      <c r="M40" s="131">
        <v>880</v>
      </c>
    </row>
    <row r="41" spans="1:13" ht="12.75">
      <c r="A41" s="44" t="s">
        <v>58</v>
      </c>
      <c r="B41" s="131">
        <v>140</v>
      </c>
      <c r="C41" s="131">
        <v>240</v>
      </c>
      <c r="D41" s="131">
        <v>250</v>
      </c>
      <c r="E41" s="131">
        <v>450</v>
      </c>
      <c r="F41" s="131">
        <v>560</v>
      </c>
      <c r="G41" s="131">
        <v>680</v>
      </c>
      <c r="H41" s="131">
        <v>800</v>
      </c>
      <c r="I41" s="131">
        <v>900</v>
      </c>
      <c r="J41" s="131">
        <v>1000</v>
      </c>
      <c r="K41" s="131">
        <v>1180</v>
      </c>
      <c r="L41" s="131">
        <v>1430</v>
      </c>
      <c r="M41" s="131">
        <v>1430</v>
      </c>
    </row>
    <row r="42" spans="1:13" ht="12.75">
      <c r="A42" s="44" t="s">
        <v>59</v>
      </c>
      <c r="B42" s="131">
        <v>100</v>
      </c>
      <c r="C42" s="131">
        <v>145</v>
      </c>
      <c r="D42" s="131">
        <v>245</v>
      </c>
      <c r="E42" s="131">
        <v>350</v>
      </c>
      <c r="F42" s="131">
        <v>450</v>
      </c>
      <c r="G42" s="131">
        <v>560</v>
      </c>
      <c r="H42" s="131">
        <v>660</v>
      </c>
      <c r="I42" s="131">
        <v>770</v>
      </c>
      <c r="J42" s="131">
        <v>870</v>
      </c>
      <c r="K42" s="131">
        <v>950</v>
      </c>
      <c r="L42" s="131">
        <v>1000</v>
      </c>
      <c r="M42" s="131">
        <v>1000</v>
      </c>
    </row>
    <row r="43" spans="1:13" ht="12.75">
      <c r="A43" s="44" t="s">
        <v>60</v>
      </c>
      <c r="B43" s="131">
        <v>10</v>
      </c>
      <c r="C43" s="131">
        <v>20</v>
      </c>
      <c r="D43" s="131">
        <v>25</v>
      </c>
      <c r="E43" s="131">
        <v>35</v>
      </c>
      <c r="F43" s="131">
        <v>45</v>
      </c>
      <c r="G43" s="131">
        <v>55</v>
      </c>
      <c r="H43" s="131">
        <v>65</v>
      </c>
      <c r="I43" s="131">
        <v>70</v>
      </c>
      <c r="J43" s="131">
        <v>80</v>
      </c>
      <c r="K43" s="131">
        <v>85</v>
      </c>
      <c r="L43" s="131">
        <v>90</v>
      </c>
      <c r="M43" s="131">
        <v>90</v>
      </c>
    </row>
    <row r="44" spans="1:13" ht="12.75">
      <c r="A44" s="44" t="s">
        <v>61</v>
      </c>
      <c r="B44" s="131">
        <v>80</v>
      </c>
      <c r="C44" s="131">
        <v>120</v>
      </c>
      <c r="D44" s="131">
        <v>190</v>
      </c>
      <c r="E44" s="131">
        <v>260</v>
      </c>
      <c r="F44" s="131">
        <v>350</v>
      </c>
      <c r="G44" s="131">
        <v>440</v>
      </c>
      <c r="H44" s="131">
        <v>520</v>
      </c>
      <c r="I44" s="131">
        <v>600</v>
      </c>
      <c r="J44" s="131">
        <v>680</v>
      </c>
      <c r="K44" s="131">
        <v>740</v>
      </c>
      <c r="L44" s="131">
        <v>830</v>
      </c>
      <c r="M44" s="131">
        <v>830</v>
      </c>
    </row>
    <row r="45" spans="1:13" ht="12.75">
      <c r="A45" s="44" t="s">
        <v>62</v>
      </c>
      <c r="B45" s="131">
        <v>140</v>
      </c>
      <c r="C45" s="131">
        <v>240</v>
      </c>
      <c r="D45" s="131">
        <v>340</v>
      </c>
      <c r="E45" s="131">
        <v>450</v>
      </c>
      <c r="F45" s="131">
        <v>560</v>
      </c>
      <c r="G45" s="131">
        <v>680</v>
      </c>
      <c r="H45" s="131">
        <v>800</v>
      </c>
      <c r="I45" s="131">
        <v>900</v>
      </c>
      <c r="J45" s="131">
        <v>1000</v>
      </c>
      <c r="K45" s="131">
        <v>1200</v>
      </c>
      <c r="L45" s="131">
        <v>1430</v>
      </c>
      <c r="M45" s="131">
        <v>1430</v>
      </c>
    </row>
    <row r="46" spans="1:13" ht="12.75">
      <c r="A46" s="44" t="s">
        <v>63</v>
      </c>
      <c r="B46" s="131">
        <v>210</v>
      </c>
      <c r="C46" s="131">
        <v>360</v>
      </c>
      <c r="D46" s="131">
        <v>530</v>
      </c>
      <c r="E46" s="131">
        <v>740</v>
      </c>
      <c r="F46" s="131">
        <v>940</v>
      </c>
      <c r="G46" s="131">
        <v>1140</v>
      </c>
      <c r="H46" s="131">
        <v>1330</v>
      </c>
      <c r="I46" s="131">
        <v>1550</v>
      </c>
      <c r="J46" s="131">
        <v>1660</v>
      </c>
      <c r="K46" s="131">
        <v>1880</v>
      </c>
      <c r="L46" s="131">
        <v>2000</v>
      </c>
      <c r="M46" s="131">
        <v>2000</v>
      </c>
    </row>
    <row r="47" spans="1:13" ht="12.75">
      <c r="A47" s="44" t="s">
        <v>64</v>
      </c>
      <c r="B47" s="131">
        <v>20</v>
      </c>
      <c r="C47" s="131">
        <v>45</v>
      </c>
      <c r="D47" s="131">
        <v>70</v>
      </c>
      <c r="E47" s="131">
        <v>80</v>
      </c>
      <c r="F47" s="131">
        <v>100</v>
      </c>
      <c r="G47" s="131">
        <v>110</v>
      </c>
      <c r="H47" s="131">
        <v>120</v>
      </c>
      <c r="I47" s="131">
        <v>140</v>
      </c>
      <c r="J47" s="131">
        <v>170</v>
      </c>
      <c r="K47" s="131">
        <v>190</v>
      </c>
      <c r="L47" s="131">
        <v>210</v>
      </c>
      <c r="M47" s="131">
        <v>210</v>
      </c>
    </row>
    <row r="48" spans="1:13" ht="12.75">
      <c r="A48" s="44" t="s">
        <v>65</v>
      </c>
      <c r="B48" s="131">
        <v>35</v>
      </c>
      <c r="C48" s="131">
        <v>55</v>
      </c>
      <c r="D48" s="131">
        <v>65</v>
      </c>
      <c r="E48" s="131">
        <v>90</v>
      </c>
      <c r="F48" s="131">
        <v>100</v>
      </c>
      <c r="G48" s="131">
        <v>140</v>
      </c>
      <c r="H48" s="131">
        <v>160</v>
      </c>
      <c r="I48" s="131">
        <v>190</v>
      </c>
      <c r="J48" s="131">
        <v>210</v>
      </c>
      <c r="K48" s="131">
        <v>230</v>
      </c>
      <c r="L48" s="131">
        <v>250</v>
      </c>
      <c r="M48" s="131">
        <v>250</v>
      </c>
    </row>
    <row r="49" spans="1:13" ht="13.5" thickBot="1">
      <c r="A49" s="47" t="s">
        <v>66</v>
      </c>
      <c r="B49" s="132">
        <v>30</v>
      </c>
      <c r="C49" s="132">
        <v>45</v>
      </c>
      <c r="D49" s="132">
        <v>65</v>
      </c>
      <c r="E49" s="132">
        <v>85</v>
      </c>
      <c r="F49" s="132">
        <v>100</v>
      </c>
      <c r="G49" s="132">
        <v>110</v>
      </c>
      <c r="H49" s="132">
        <v>120</v>
      </c>
      <c r="I49" s="132">
        <v>140</v>
      </c>
      <c r="J49" s="132">
        <v>160</v>
      </c>
      <c r="K49" s="132">
        <v>190</v>
      </c>
      <c r="L49" s="132">
        <v>210</v>
      </c>
      <c r="M49" s="132">
        <v>210</v>
      </c>
    </row>
    <row r="50" ht="13.5" thickTop="1"/>
    <row r="51" ht="13.5" thickBot="1"/>
    <row r="52" spans="1:13" ht="15.75" thickTop="1">
      <c r="A52" s="163" t="s">
        <v>67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5"/>
    </row>
    <row r="53" spans="1:13" ht="12.75">
      <c r="A53" s="44"/>
      <c r="B53" s="45" t="s">
        <v>42</v>
      </c>
      <c r="C53" s="45" t="s">
        <v>43</v>
      </c>
      <c r="D53" s="45" t="s">
        <v>44</v>
      </c>
      <c r="E53" s="45" t="s">
        <v>45</v>
      </c>
      <c r="F53" s="45" t="s">
        <v>46</v>
      </c>
      <c r="G53" s="45" t="s">
        <v>47</v>
      </c>
      <c r="H53" s="45" t="s">
        <v>48</v>
      </c>
      <c r="I53" s="45" t="s">
        <v>49</v>
      </c>
      <c r="J53" s="45" t="s">
        <v>50</v>
      </c>
      <c r="K53" s="45" t="s">
        <v>51</v>
      </c>
      <c r="L53" s="45" t="s">
        <v>52</v>
      </c>
      <c r="M53" s="46" t="s">
        <v>53</v>
      </c>
    </row>
    <row r="54" spans="1:13" ht="12.75">
      <c r="A54" s="44" t="s">
        <v>54</v>
      </c>
      <c r="B54" s="49">
        <f>B37/$B$37</f>
        <v>1</v>
      </c>
      <c r="C54" s="49">
        <f aca="true" t="shared" si="13" ref="C54:M54">C37/$B$37</f>
        <v>1.625</v>
      </c>
      <c r="D54" s="49">
        <f t="shared" si="13"/>
        <v>2.25</v>
      </c>
      <c r="E54" s="49">
        <f t="shared" si="13"/>
        <v>3.25</v>
      </c>
      <c r="F54" s="49">
        <f t="shared" si="13"/>
        <v>4.5</v>
      </c>
      <c r="G54" s="49">
        <f t="shared" si="13"/>
        <v>5.5</v>
      </c>
      <c r="H54" s="49">
        <f t="shared" si="13"/>
        <v>6.25</v>
      </c>
      <c r="I54" s="49">
        <f t="shared" si="13"/>
        <v>7.5</v>
      </c>
      <c r="J54" s="49">
        <f t="shared" si="13"/>
        <v>8.5</v>
      </c>
      <c r="K54" s="49">
        <f t="shared" si="13"/>
        <v>9.75</v>
      </c>
      <c r="L54" s="49">
        <f t="shared" si="13"/>
        <v>10.25</v>
      </c>
      <c r="M54" s="50">
        <f t="shared" si="13"/>
        <v>10.25</v>
      </c>
    </row>
    <row r="55" spans="1:13" ht="12.75">
      <c r="A55" s="44" t="s">
        <v>55</v>
      </c>
      <c r="B55" s="49">
        <f aca="true" t="shared" si="14" ref="B55:M55">B38/$B$37</f>
        <v>0.5</v>
      </c>
      <c r="C55" s="49">
        <f t="shared" si="14"/>
        <v>0.625</v>
      </c>
      <c r="D55" s="49">
        <f t="shared" si="14"/>
        <v>0.75</v>
      </c>
      <c r="E55" s="49">
        <f t="shared" si="14"/>
        <v>1</v>
      </c>
      <c r="F55" s="49">
        <f t="shared" si="14"/>
        <v>1.625</v>
      </c>
      <c r="G55" s="49">
        <f t="shared" si="14"/>
        <v>2</v>
      </c>
      <c r="H55" s="49">
        <f t="shared" si="14"/>
        <v>2.5</v>
      </c>
      <c r="I55" s="49">
        <f t="shared" si="14"/>
        <v>3</v>
      </c>
      <c r="J55" s="49">
        <f t="shared" si="14"/>
        <v>3.5</v>
      </c>
      <c r="K55" s="49">
        <f t="shared" si="14"/>
        <v>4.25</v>
      </c>
      <c r="L55" s="49">
        <f t="shared" si="14"/>
        <v>4.75</v>
      </c>
      <c r="M55" s="50">
        <f t="shared" si="14"/>
        <v>4.75</v>
      </c>
    </row>
    <row r="56" spans="1:13" ht="12.75">
      <c r="A56" s="44" t="s">
        <v>56</v>
      </c>
      <c r="B56" s="49">
        <f aca="true" t="shared" si="15" ref="B56:M56">B39/$B$37</f>
        <v>1.125</v>
      </c>
      <c r="C56" s="49">
        <f t="shared" si="15"/>
        <v>1.625</v>
      </c>
      <c r="D56" s="49">
        <f t="shared" si="15"/>
        <v>1.875</v>
      </c>
      <c r="E56" s="49">
        <f t="shared" si="15"/>
        <v>2.5</v>
      </c>
      <c r="F56" s="49">
        <f t="shared" si="15"/>
        <v>3</v>
      </c>
      <c r="G56" s="49">
        <f t="shared" si="15"/>
        <v>4.25</v>
      </c>
      <c r="H56" s="49">
        <f t="shared" si="15"/>
        <v>4.75</v>
      </c>
      <c r="I56" s="49">
        <f t="shared" si="15"/>
        <v>5.5</v>
      </c>
      <c r="J56" s="49">
        <f t="shared" si="15"/>
        <v>6.25</v>
      </c>
      <c r="K56" s="49">
        <f t="shared" si="15"/>
        <v>6.5</v>
      </c>
      <c r="L56" s="49">
        <f t="shared" si="15"/>
        <v>7.75</v>
      </c>
      <c r="M56" s="50">
        <f t="shared" si="15"/>
        <v>7.75</v>
      </c>
    </row>
    <row r="57" spans="1:13" ht="12.75">
      <c r="A57" s="44" t="s">
        <v>57</v>
      </c>
      <c r="B57" s="49">
        <f aca="true" t="shared" si="16" ref="B57:M57">B40/$B$37</f>
        <v>2.25</v>
      </c>
      <c r="C57" s="49">
        <f t="shared" si="16"/>
        <v>3.625</v>
      </c>
      <c r="D57" s="49">
        <f t="shared" si="16"/>
        <v>5.75</v>
      </c>
      <c r="E57" s="49">
        <f t="shared" si="16"/>
        <v>7.75</v>
      </c>
      <c r="F57" s="49">
        <f t="shared" si="16"/>
        <v>9.75</v>
      </c>
      <c r="G57" s="49">
        <f t="shared" si="16"/>
        <v>12</v>
      </c>
      <c r="H57" s="49">
        <f t="shared" si="16"/>
        <v>14</v>
      </c>
      <c r="I57" s="49">
        <f t="shared" si="16"/>
        <v>16</v>
      </c>
      <c r="J57" s="49">
        <f t="shared" si="16"/>
        <v>18</v>
      </c>
      <c r="K57" s="49">
        <f t="shared" si="16"/>
        <v>20.25</v>
      </c>
      <c r="L57" s="49">
        <f t="shared" si="16"/>
        <v>22</v>
      </c>
      <c r="M57" s="50">
        <f t="shared" si="16"/>
        <v>22</v>
      </c>
    </row>
    <row r="58" spans="1:13" ht="12.75">
      <c r="A58" s="44" t="s">
        <v>58</v>
      </c>
      <c r="B58" s="49">
        <f aca="true" t="shared" si="17" ref="B58:M58">B41/$B$37</f>
        <v>3.5</v>
      </c>
      <c r="C58" s="49">
        <f t="shared" si="17"/>
        <v>6</v>
      </c>
      <c r="D58" s="49">
        <f t="shared" si="17"/>
        <v>6.25</v>
      </c>
      <c r="E58" s="49">
        <f t="shared" si="17"/>
        <v>11.25</v>
      </c>
      <c r="F58" s="49">
        <f t="shared" si="17"/>
        <v>14</v>
      </c>
      <c r="G58" s="49">
        <f t="shared" si="17"/>
        <v>17</v>
      </c>
      <c r="H58" s="49">
        <f t="shared" si="17"/>
        <v>20</v>
      </c>
      <c r="I58" s="49">
        <f t="shared" si="17"/>
        <v>22.5</v>
      </c>
      <c r="J58" s="49">
        <f t="shared" si="17"/>
        <v>25</v>
      </c>
      <c r="K58" s="49">
        <f t="shared" si="17"/>
        <v>29.5</v>
      </c>
      <c r="L58" s="49">
        <f t="shared" si="17"/>
        <v>35.75</v>
      </c>
      <c r="M58" s="50">
        <f t="shared" si="17"/>
        <v>35.75</v>
      </c>
    </row>
    <row r="59" spans="1:13" ht="12.75">
      <c r="A59" s="44" t="s">
        <v>59</v>
      </c>
      <c r="B59" s="49">
        <f aca="true" t="shared" si="18" ref="B59:M59">B42/$B$37</f>
        <v>2.5</v>
      </c>
      <c r="C59" s="49">
        <f t="shared" si="18"/>
        <v>3.625</v>
      </c>
      <c r="D59" s="49">
        <f t="shared" si="18"/>
        <v>6.125</v>
      </c>
      <c r="E59" s="49">
        <f t="shared" si="18"/>
        <v>8.75</v>
      </c>
      <c r="F59" s="49">
        <f t="shared" si="18"/>
        <v>11.25</v>
      </c>
      <c r="G59" s="49">
        <f t="shared" si="18"/>
        <v>14</v>
      </c>
      <c r="H59" s="49">
        <f t="shared" si="18"/>
        <v>16.5</v>
      </c>
      <c r="I59" s="49">
        <f t="shared" si="18"/>
        <v>19.25</v>
      </c>
      <c r="J59" s="49">
        <f t="shared" si="18"/>
        <v>21.75</v>
      </c>
      <c r="K59" s="49">
        <f t="shared" si="18"/>
        <v>23.75</v>
      </c>
      <c r="L59" s="49">
        <f t="shared" si="18"/>
        <v>25</v>
      </c>
      <c r="M59" s="50">
        <f t="shared" si="18"/>
        <v>25</v>
      </c>
    </row>
    <row r="60" spans="1:13" ht="12.75">
      <c r="A60" s="44" t="s">
        <v>60</v>
      </c>
      <c r="B60" s="49">
        <f aca="true" t="shared" si="19" ref="B60:M60">B43/$B$37</f>
        <v>0.25</v>
      </c>
      <c r="C60" s="49">
        <f t="shared" si="19"/>
        <v>0.5</v>
      </c>
      <c r="D60" s="49">
        <f t="shared" si="19"/>
        <v>0.625</v>
      </c>
      <c r="E60" s="49">
        <f t="shared" si="19"/>
        <v>0.875</v>
      </c>
      <c r="F60" s="49">
        <f t="shared" si="19"/>
        <v>1.125</v>
      </c>
      <c r="G60" s="49">
        <f t="shared" si="19"/>
        <v>1.375</v>
      </c>
      <c r="H60" s="49">
        <f t="shared" si="19"/>
        <v>1.625</v>
      </c>
      <c r="I60" s="49">
        <f t="shared" si="19"/>
        <v>1.75</v>
      </c>
      <c r="J60" s="49">
        <f t="shared" si="19"/>
        <v>2</v>
      </c>
      <c r="K60" s="49">
        <f t="shared" si="19"/>
        <v>2.125</v>
      </c>
      <c r="L60" s="49">
        <f>L43/$B$37</f>
        <v>2.25</v>
      </c>
      <c r="M60" s="50">
        <f t="shared" si="19"/>
        <v>2.25</v>
      </c>
    </row>
    <row r="61" spans="1:13" ht="12.75">
      <c r="A61" s="44" t="s">
        <v>61</v>
      </c>
      <c r="B61" s="49">
        <f aca="true" t="shared" si="20" ref="B61:M61">B44/$B$37</f>
        <v>2</v>
      </c>
      <c r="C61" s="49">
        <f t="shared" si="20"/>
        <v>3</v>
      </c>
      <c r="D61" s="49">
        <f t="shared" si="20"/>
        <v>4.75</v>
      </c>
      <c r="E61" s="49">
        <f t="shared" si="20"/>
        <v>6.5</v>
      </c>
      <c r="F61" s="49">
        <f t="shared" si="20"/>
        <v>8.75</v>
      </c>
      <c r="G61" s="49">
        <f t="shared" si="20"/>
        <v>11</v>
      </c>
      <c r="H61" s="49">
        <f t="shared" si="20"/>
        <v>13</v>
      </c>
      <c r="I61" s="49">
        <f t="shared" si="20"/>
        <v>15</v>
      </c>
      <c r="J61" s="49">
        <f t="shared" si="20"/>
        <v>17</v>
      </c>
      <c r="K61" s="49">
        <f t="shared" si="20"/>
        <v>18.5</v>
      </c>
      <c r="L61" s="49">
        <f t="shared" si="20"/>
        <v>20.75</v>
      </c>
      <c r="M61" s="50">
        <f t="shared" si="20"/>
        <v>20.75</v>
      </c>
    </row>
    <row r="62" spans="1:13" ht="12.75">
      <c r="A62" s="44" t="s">
        <v>62</v>
      </c>
      <c r="B62" s="49">
        <f aca="true" t="shared" si="21" ref="B62:M62">B45/$B$37</f>
        <v>3.5</v>
      </c>
      <c r="C62" s="49">
        <f t="shared" si="21"/>
        <v>6</v>
      </c>
      <c r="D62" s="49">
        <f t="shared" si="21"/>
        <v>8.5</v>
      </c>
      <c r="E62" s="49">
        <f t="shared" si="21"/>
        <v>11.25</v>
      </c>
      <c r="F62" s="49">
        <f t="shared" si="21"/>
        <v>14</v>
      </c>
      <c r="G62" s="49">
        <f t="shared" si="21"/>
        <v>17</v>
      </c>
      <c r="H62" s="49">
        <f t="shared" si="21"/>
        <v>20</v>
      </c>
      <c r="I62" s="49">
        <f t="shared" si="21"/>
        <v>22.5</v>
      </c>
      <c r="J62" s="49">
        <f t="shared" si="21"/>
        <v>25</v>
      </c>
      <c r="K62" s="49">
        <f t="shared" si="21"/>
        <v>30</v>
      </c>
      <c r="L62" s="49">
        <f t="shared" si="21"/>
        <v>35.75</v>
      </c>
      <c r="M62" s="50">
        <f t="shared" si="21"/>
        <v>35.75</v>
      </c>
    </row>
    <row r="63" spans="1:13" ht="12.75">
      <c r="A63" s="44" t="s">
        <v>63</v>
      </c>
      <c r="B63" s="49">
        <f aca="true" t="shared" si="22" ref="B63:M63">B46/$B$37</f>
        <v>5.25</v>
      </c>
      <c r="C63" s="49">
        <f t="shared" si="22"/>
        <v>9</v>
      </c>
      <c r="D63" s="49">
        <f t="shared" si="22"/>
        <v>13.25</v>
      </c>
      <c r="E63" s="49">
        <f t="shared" si="22"/>
        <v>18.5</v>
      </c>
      <c r="F63" s="49">
        <f t="shared" si="22"/>
        <v>23.5</v>
      </c>
      <c r="G63" s="49">
        <f t="shared" si="22"/>
        <v>28.5</v>
      </c>
      <c r="H63" s="49">
        <f t="shared" si="22"/>
        <v>33.25</v>
      </c>
      <c r="I63" s="49">
        <f t="shared" si="22"/>
        <v>38.75</v>
      </c>
      <c r="J63" s="49">
        <f t="shared" si="22"/>
        <v>41.5</v>
      </c>
      <c r="K63" s="49">
        <f t="shared" si="22"/>
        <v>47</v>
      </c>
      <c r="L63" s="49">
        <f t="shared" si="22"/>
        <v>50</v>
      </c>
      <c r="M63" s="50">
        <f t="shared" si="22"/>
        <v>50</v>
      </c>
    </row>
    <row r="64" spans="1:13" ht="12.75">
      <c r="A64" s="44" t="s">
        <v>64</v>
      </c>
      <c r="B64" s="49">
        <f aca="true" t="shared" si="23" ref="B64:M64">B47/$B$37</f>
        <v>0.5</v>
      </c>
      <c r="C64" s="49">
        <f t="shared" si="23"/>
        <v>1.125</v>
      </c>
      <c r="D64" s="49">
        <f t="shared" si="23"/>
        <v>1.75</v>
      </c>
      <c r="E64" s="49">
        <f t="shared" si="23"/>
        <v>2</v>
      </c>
      <c r="F64" s="49">
        <f t="shared" si="23"/>
        <v>2.5</v>
      </c>
      <c r="G64" s="49">
        <f t="shared" si="23"/>
        <v>2.75</v>
      </c>
      <c r="H64" s="49">
        <f t="shared" si="23"/>
        <v>3</v>
      </c>
      <c r="I64" s="49">
        <f t="shared" si="23"/>
        <v>3.5</v>
      </c>
      <c r="J64" s="49">
        <f t="shared" si="23"/>
        <v>4.25</v>
      </c>
      <c r="K64" s="49">
        <f t="shared" si="23"/>
        <v>4.75</v>
      </c>
      <c r="L64" s="49">
        <f t="shared" si="23"/>
        <v>5.25</v>
      </c>
      <c r="M64" s="50">
        <f t="shared" si="23"/>
        <v>5.25</v>
      </c>
    </row>
    <row r="65" spans="1:13" ht="12.75">
      <c r="A65" s="44" t="s">
        <v>65</v>
      </c>
      <c r="B65" s="49">
        <f aca="true" t="shared" si="24" ref="B65:M65">B48/$B$37</f>
        <v>0.875</v>
      </c>
      <c r="C65" s="49">
        <f t="shared" si="24"/>
        <v>1.375</v>
      </c>
      <c r="D65" s="49">
        <f t="shared" si="24"/>
        <v>1.625</v>
      </c>
      <c r="E65" s="49">
        <f t="shared" si="24"/>
        <v>2.25</v>
      </c>
      <c r="F65" s="49">
        <f t="shared" si="24"/>
        <v>2.5</v>
      </c>
      <c r="G65" s="49">
        <f t="shared" si="24"/>
        <v>3.5</v>
      </c>
      <c r="H65" s="49">
        <f t="shared" si="24"/>
        <v>4</v>
      </c>
      <c r="I65" s="49">
        <f t="shared" si="24"/>
        <v>4.75</v>
      </c>
      <c r="J65" s="49">
        <f t="shared" si="24"/>
        <v>5.25</v>
      </c>
      <c r="K65" s="49">
        <f t="shared" si="24"/>
        <v>5.75</v>
      </c>
      <c r="L65" s="49">
        <f t="shared" si="24"/>
        <v>6.25</v>
      </c>
      <c r="M65" s="50">
        <f t="shared" si="24"/>
        <v>6.25</v>
      </c>
    </row>
    <row r="66" spans="1:13" ht="13.5" thickBot="1">
      <c r="A66" s="47" t="s">
        <v>66</v>
      </c>
      <c r="B66" s="51">
        <f aca="true" t="shared" si="25" ref="B66:M66">B49/$B$37</f>
        <v>0.75</v>
      </c>
      <c r="C66" s="51">
        <f t="shared" si="25"/>
        <v>1.125</v>
      </c>
      <c r="D66" s="51">
        <f t="shared" si="25"/>
        <v>1.625</v>
      </c>
      <c r="E66" s="51">
        <f t="shared" si="25"/>
        <v>2.125</v>
      </c>
      <c r="F66" s="51">
        <f t="shared" si="25"/>
        <v>2.5</v>
      </c>
      <c r="G66" s="51">
        <f t="shared" si="25"/>
        <v>2.75</v>
      </c>
      <c r="H66" s="51">
        <f t="shared" si="25"/>
        <v>3</v>
      </c>
      <c r="I66" s="51">
        <f t="shared" si="25"/>
        <v>3.5</v>
      </c>
      <c r="J66" s="51">
        <f t="shared" si="25"/>
        <v>4</v>
      </c>
      <c r="K66" s="51">
        <f t="shared" si="25"/>
        <v>4.75</v>
      </c>
      <c r="L66" s="51">
        <f t="shared" si="25"/>
        <v>5.25</v>
      </c>
      <c r="M66" s="52">
        <f t="shared" si="25"/>
        <v>5.25</v>
      </c>
    </row>
    <row r="67" ht="13.5" thickTop="1"/>
    <row r="68" ht="13.5" thickBot="1"/>
    <row r="69" spans="1:13" ht="15.75" thickTop="1">
      <c r="A69" s="163" t="s">
        <v>68</v>
      </c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5"/>
    </row>
    <row r="70" spans="1:13" ht="12.75">
      <c r="A70" s="44"/>
      <c r="B70" s="45" t="s">
        <v>42</v>
      </c>
      <c r="C70" s="45" t="s">
        <v>43</v>
      </c>
      <c r="D70" s="45" t="s">
        <v>44</v>
      </c>
      <c r="E70" s="45" t="s">
        <v>45</v>
      </c>
      <c r="F70" s="45" t="s">
        <v>46</v>
      </c>
      <c r="G70" s="45" t="s">
        <v>47</v>
      </c>
      <c r="H70" s="45" t="s">
        <v>48</v>
      </c>
      <c r="I70" s="45" t="s">
        <v>49</v>
      </c>
      <c r="J70" s="45" t="s">
        <v>50</v>
      </c>
      <c r="K70" s="45" t="s">
        <v>51</v>
      </c>
      <c r="L70" s="45" t="s">
        <v>52</v>
      </c>
      <c r="M70" s="46" t="s">
        <v>53</v>
      </c>
    </row>
    <row r="71" spans="1:13" ht="12.75">
      <c r="A71" s="44" t="s">
        <v>54</v>
      </c>
      <c r="B71" s="166">
        <f>B54*B20</f>
        <v>0.6188595158513116</v>
      </c>
      <c r="C71" s="61">
        <f aca="true" t="shared" si="26" ref="C71:M71">C54*C20</f>
        <v>0.2454041324825281</v>
      </c>
      <c r="D71" s="61">
        <f t="shared" si="26"/>
        <v>0</v>
      </c>
      <c r="E71" s="61">
        <f t="shared" si="26"/>
        <v>0.42069279854147673</v>
      </c>
      <c r="F71" s="61">
        <f t="shared" si="26"/>
        <v>0</v>
      </c>
      <c r="G71" s="61">
        <f t="shared" si="26"/>
        <v>0</v>
      </c>
      <c r="H71" s="61">
        <f t="shared" si="26"/>
        <v>0.08672642560518586</v>
      </c>
      <c r="I71" s="61">
        <f t="shared" si="26"/>
        <v>0</v>
      </c>
      <c r="J71" s="61">
        <f t="shared" si="26"/>
        <v>0</v>
      </c>
      <c r="K71" s="61">
        <f t="shared" si="26"/>
        <v>0</v>
      </c>
      <c r="L71" s="61">
        <f t="shared" si="26"/>
        <v>0</v>
      </c>
      <c r="M71" s="62">
        <f t="shared" si="26"/>
        <v>0.62291096931024</v>
      </c>
    </row>
    <row r="72" spans="1:13" ht="12.75">
      <c r="A72" s="44" t="s">
        <v>55</v>
      </c>
      <c r="B72" s="61">
        <f aca="true" t="shared" si="27" ref="B72:M72">B55*B21</f>
        <v>0.0014180087106249366</v>
      </c>
      <c r="C72" s="61">
        <f t="shared" si="27"/>
        <v>0.0001266079205915122</v>
      </c>
      <c r="D72" s="61">
        <f t="shared" si="27"/>
        <v>0</v>
      </c>
      <c r="E72" s="61">
        <f t="shared" si="27"/>
        <v>0.0009622201964954928</v>
      </c>
      <c r="F72" s="61">
        <f t="shared" si="27"/>
        <v>0</v>
      </c>
      <c r="G72" s="61">
        <f t="shared" si="27"/>
        <v>0</v>
      </c>
      <c r="H72" s="61">
        <f t="shared" si="27"/>
        <v>0</v>
      </c>
      <c r="I72" s="61">
        <f t="shared" si="27"/>
        <v>0</v>
      </c>
      <c r="J72" s="61">
        <f t="shared" si="27"/>
        <v>0</v>
      </c>
      <c r="K72" s="61">
        <f t="shared" si="27"/>
        <v>0</v>
      </c>
      <c r="L72" s="61">
        <f t="shared" si="27"/>
        <v>0</v>
      </c>
      <c r="M72" s="62">
        <f t="shared" si="27"/>
        <v>0.00024055504912387317</v>
      </c>
    </row>
    <row r="73" spans="1:13" ht="12.75">
      <c r="A73" s="44" t="s">
        <v>56</v>
      </c>
      <c r="B73" s="61">
        <f aca="true" t="shared" si="28" ref="B73:M73">B56*B22</f>
        <v>0.0016522333637192343</v>
      </c>
      <c r="C73" s="61">
        <f t="shared" si="28"/>
        <v>8.229514838448293E-05</v>
      </c>
      <c r="D73" s="61">
        <f t="shared" si="28"/>
        <v>0</v>
      </c>
      <c r="E73" s="61">
        <f t="shared" si="28"/>
        <v>0.00037982376177453657</v>
      </c>
      <c r="F73" s="61">
        <f t="shared" si="28"/>
        <v>0</v>
      </c>
      <c r="G73" s="61">
        <f t="shared" si="28"/>
        <v>0</v>
      </c>
      <c r="H73" s="61">
        <f t="shared" si="28"/>
        <v>0</v>
      </c>
      <c r="I73" s="61">
        <f t="shared" si="28"/>
        <v>0</v>
      </c>
      <c r="J73" s="61">
        <f t="shared" si="28"/>
        <v>0</v>
      </c>
      <c r="K73" s="61">
        <f t="shared" si="28"/>
        <v>0</v>
      </c>
      <c r="L73" s="61">
        <f t="shared" si="28"/>
        <v>0</v>
      </c>
      <c r="M73" s="62">
        <f t="shared" si="28"/>
        <v>0.0003924845538336878</v>
      </c>
    </row>
    <row r="74" spans="1:13" ht="12.75">
      <c r="A74" s="44" t="s">
        <v>57</v>
      </c>
      <c r="B74" s="61">
        <f aca="true" t="shared" si="29" ref="B74:M74">B57*B23</f>
        <v>0.0015952597994530536</v>
      </c>
      <c r="C74" s="61">
        <f t="shared" si="29"/>
        <v>0.0001835814848576927</v>
      </c>
      <c r="D74" s="61">
        <f t="shared" si="29"/>
        <v>0</v>
      </c>
      <c r="E74" s="61">
        <f t="shared" si="29"/>
        <v>0.0011774536615010633</v>
      </c>
      <c r="F74" s="61">
        <f t="shared" si="29"/>
        <v>0</v>
      </c>
      <c r="G74" s="61">
        <f t="shared" si="29"/>
        <v>0</v>
      </c>
      <c r="H74" s="61">
        <f t="shared" si="29"/>
        <v>0</v>
      </c>
      <c r="I74" s="61">
        <f t="shared" si="29"/>
        <v>0</v>
      </c>
      <c r="J74" s="61">
        <f t="shared" si="29"/>
        <v>0</v>
      </c>
      <c r="K74" s="61">
        <f t="shared" si="29"/>
        <v>0</v>
      </c>
      <c r="L74" s="61">
        <f t="shared" si="29"/>
        <v>0</v>
      </c>
      <c r="M74" s="62">
        <f t="shared" si="29"/>
        <v>0.0011141497012053074</v>
      </c>
    </row>
    <row r="75" spans="1:13" ht="12.75">
      <c r="A75" s="44" t="s">
        <v>58</v>
      </c>
      <c r="B75" s="61">
        <f aca="true" t="shared" si="30" ref="B75:M75">B58*B24</f>
        <v>0.001949761977109288</v>
      </c>
      <c r="C75" s="61">
        <f t="shared" si="30"/>
        <v>0.00030385900941962927</v>
      </c>
      <c r="D75" s="61">
        <f t="shared" si="30"/>
        <v>0</v>
      </c>
      <c r="E75" s="61">
        <f t="shared" si="30"/>
        <v>0.0017092069279854146</v>
      </c>
      <c r="F75" s="61">
        <f t="shared" si="30"/>
        <v>0</v>
      </c>
      <c r="G75" s="61">
        <f t="shared" si="30"/>
        <v>0</v>
      </c>
      <c r="H75" s="61">
        <f t="shared" si="30"/>
        <v>0.0010128633647320975</v>
      </c>
      <c r="I75" s="61">
        <f t="shared" si="30"/>
        <v>0</v>
      </c>
      <c r="J75" s="61">
        <f t="shared" si="30"/>
        <v>0</v>
      </c>
      <c r="K75" s="61">
        <f t="shared" si="30"/>
        <v>0</v>
      </c>
      <c r="L75" s="61">
        <f t="shared" si="30"/>
        <v>0</v>
      </c>
      <c r="M75" s="62">
        <f t="shared" si="30"/>
        <v>0.08328269016509673</v>
      </c>
    </row>
    <row r="76" spans="1:13" ht="12.75">
      <c r="A76" s="44" t="s">
        <v>59</v>
      </c>
      <c r="B76" s="61">
        <f aca="true" t="shared" si="31" ref="B76:M76">B59*B25</f>
        <v>0</v>
      </c>
      <c r="C76" s="61">
        <f t="shared" si="31"/>
        <v>0</v>
      </c>
      <c r="D76" s="61">
        <f t="shared" si="31"/>
        <v>0</v>
      </c>
      <c r="E76" s="61">
        <f t="shared" si="31"/>
        <v>0</v>
      </c>
      <c r="F76" s="61">
        <f t="shared" si="31"/>
        <v>0</v>
      </c>
      <c r="G76" s="61">
        <f t="shared" si="31"/>
        <v>0</v>
      </c>
      <c r="H76" s="61">
        <f t="shared" si="31"/>
        <v>0</v>
      </c>
      <c r="I76" s="61">
        <f t="shared" si="31"/>
        <v>0</v>
      </c>
      <c r="J76" s="61">
        <f t="shared" si="31"/>
        <v>0</v>
      </c>
      <c r="K76" s="61">
        <f t="shared" si="31"/>
        <v>0</v>
      </c>
      <c r="L76" s="61">
        <f t="shared" si="31"/>
        <v>0</v>
      </c>
      <c r="M76" s="62">
        <f t="shared" si="31"/>
        <v>0</v>
      </c>
    </row>
    <row r="77" spans="1:13" ht="12.75">
      <c r="A77" s="44" t="s">
        <v>60</v>
      </c>
      <c r="B77" s="61">
        <f aca="true" t="shared" si="32" ref="B77:M77">B60*B26</f>
        <v>0</v>
      </c>
      <c r="C77" s="61">
        <f t="shared" si="32"/>
        <v>0</v>
      </c>
      <c r="D77" s="61">
        <f t="shared" si="32"/>
        <v>0</v>
      </c>
      <c r="E77" s="61">
        <f t="shared" si="32"/>
        <v>0</v>
      </c>
      <c r="F77" s="61">
        <f t="shared" si="32"/>
        <v>0</v>
      </c>
      <c r="G77" s="61">
        <f t="shared" si="32"/>
        <v>0</v>
      </c>
      <c r="H77" s="61">
        <f t="shared" si="32"/>
        <v>0</v>
      </c>
      <c r="I77" s="61">
        <f t="shared" si="32"/>
        <v>0</v>
      </c>
      <c r="J77" s="61">
        <f t="shared" si="32"/>
        <v>0</v>
      </c>
      <c r="K77" s="61">
        <f t="shared" si="32"/>
        <v>0</v>
      </c>
      <c r="L77" s="61">
        <f t="shared" si="32"/>
        <v>0</v>
      </c>
      <c r="M77" s="62">
        <f t="shared" si="32"/>
        <v>0</v>
      </c>
    </row>
    <row r="78" spans="1:13" ht="12.75">
      <c r="A78" s="44" t="s">
        <v>61</v>
      </c>
      <c r="B78" s="61">
        <f aca="true" t="shared" si="33" ref="B78:M78">B61*B27</f>
        <v>0.00020257267294641952</v>
      </c>
      <c r="C78" s="61">
        <f t="shared" si="33"/>
        <v>0.00015192950470981463</v>
      </c>
      <c r="D78" s="61">
        <f t="shared" si="33"/>
        <v>0</v>
      </c>
      <c r="E78" s="61">
        <f t="shared" si="33"/>
        <v>0.0009875417806137952</v>
      </c>
      <c r="F78" s="61">
        <f t="shared" si="33"/>
        <v>0</v>
      </c>
      <c r="G78" s="61">
        <f t="shared" si="33"/>
        <v>0</v>
      </c>
      <c r="H78" s="61">
        <f t="shared" si="33"/>
        <v>0.0006583611870758635</v>
      </c>
      <c r="I78" s="61">
        <f t="shared" si="33"/>
        <v>0</v>
      </c>
      <c r="J78" s="61">
        <f t="shared" si="33"/>
        <v>0</v>
      </c>
      <c r="K78" s="61">
        <f t="shared" si="33"/>
        <v>0</v>
      </c>
      <c r="L78" s="61">
        <f t="shared" si="33"/>
        <v>0</v>
      </c>
      <c r="M78" s="62">
        <f t="shared" si="33"/>
        <v>0.048338904081839364</v>
      </c>
    </row>
    <row r="79" spans="1:13" ht="12.75">
      <c r="A79" s="44" t="s">
        <v>62</v>
      </c>
      <c r="B79" s="61">
        <f aca="true" t="shared" si="34" ref="B79:M79">B62*B28</f>
        <v>0.00035450217765623415</v>
      </c>
      <c r="C79" s="61">
        <f t="shared" si="34"/>
        <v>0</v>
      </c>
      <c r="D79" s="61">
        <f t="shared" si="34"/>
        <v>0</v>
      </c>
      <c r="E79" s="61">
        <f t="shared" si="34"/>
        <v>0.0005697356426618049</v>
      </c>
      <c r="F79" s="61">
        <f t="shared" si="34"/>
        <v>0</v>
      </c>
      <c r="G79" s="61">
        <f t="shared" si="34"/>
        <v>0</v>
      </c>
      <c r="H79" s="61">
        <f t="shared" si="34"/>
        <v>0</v>
      </c>
      <c r="I79" s="61">
        <f t="shared" si="34"/>
        <v>0</v>
      </c>
      <c r="J79" s="61">
        <f t="shared" si="34"/>
        <v>0</v>
      </c>
      <c r="K79" s="61">
        <f t="shared" si="34"/>
        <v>0</v>
      </c>
      <c r="L79" s="61">
        <f t="shared" si="34"/>
        <v>0</v>
      </c>
      <c r="M79" s="62">
        <f t="shared" si="34"/>
        <v>0.0018104932644586245</v>
      </c>
    </row>
    <row r="80" spans="1:13" ht="12.75">
      <c r="A80" s="44" t="s">
        <v>63</v>
      </c>
      <c r="B80" s="61">
        <f aca="true" t="shared" si="35" ref="B80:M80">B63*B29</f>
        <v>0.0034563962321482833</v>
      </c>
      <c r="C80" s="61">
        <f t="shared" si="35"/>
        <v>0.0013673655423883317</v>
      </c>
      <c r="D80" s="61">
        <f t="shared" si="35"/>
        <v>0</v>
      </c>
      <c r="E80" s="61">
        <f t="shared" si="35"/>
        <v>0.0009368986123771903</v>
      </c>
      <c r="F80" s="61">
        <f t="shared" si="35"/>
        <v>0</v>
      </c>
      <c r="G80" s="61">
        <f t="shared" si="35"/>
        <v>0</v>
      </c>
      <c r="H80" s="61">
        <f t="shared" si="35"/>
        <v>0</v>
      </c>
      <c r="I80" s="61">
        <f t="shared" si="35"/>
        <v>0</v>
      </c>
      <c r="J80" s="61">
        <f t="shared" si="35"/>
        <v>0</v>
      </c>
      <c r="K80" s="61">
        <f t="shared" si="35"/>
        <v>0</v>
      </c>
      <c r="L80" s="61">
        <f t="shared" si="35"/>
        <v>0</v>
      </c>
      <c r="M80" s="62">
        <f t="shared" si="35"/>
        <v>0.002532158411830244</v>
      </c>
    </row>
    <row r="81" spans="1:13" ht="12.75">
      <c r="A81" s="44" t="s">
        <v>64</v>
      </c>
      <c r="B81" s="61">
        <f aca="true" t="shared" si="36" ref="B81:M81">B64*B30</f>
        <v>0.0037475944495087613</v>
      </c>
      <c r="C81" s="61">
        <f t="shared" si="36"/>
        <v>0.0006836827711941658</v>
      </c>
      <c r="D81" s="61">
        <f t="shared" si="36"/>
        <v>0</v>
      </c>
      <c r="E81" s="61">
        <f t="shared" si="36"/>
        <v>0.0014180087106249366</v>
      </c>
      <c r="F81" s="61">
        <f t="shared" si="36"/>
        <v>0</v>
      </c>
      <c r="G81" s="61">
        <f t="shared" si="36"/>
        <v>0</v>
      </c>
      <c r="H81" s="61">
        <f t="shared" si="36"/>
        <v>0.00030385900941962927</v>
      </c>
      <c r="I81" s="61">
        <f t="shared" si="36"/>
        <v>0</v>
      </c>
      <c r="J81" s="61">
        <f t="shared" si="36"/>
        <v>0</v>
      </c>
      <c r="K81" s="61">
        <f t="shared" si="36"/>
        <v>0</v>
      </c>
      <c r="L81" s="61">
        <f t="shared" si="36"/>
        <v>0</v>
      </c>
      <c r="M81" s="62">
        <f t="shared" si="36"/>
        <v>0.018079611060467942</v>
      </c>
    </row>
    <row r="82" spans="1:13" ht="12.75">
      <c r="A82" s="44" t="s">
        <v>65</v>
      </c>
      <c r="B82" s="61">
        <f aca="true" t="shared" si="37" ref="B82:M82">B65*B31</f>
        <v>0</v>
      </c>
      <c r="C82" s="61">
        <f t="shared" si="37"/>
        <v>0</v>
      </c>
      <c r="D82" s="61">
        <f t="shared" si="37"/>
        <v>0</v>
      </c>
      <c r="E82" s="61">
        <f t="shared" si="37"/>
        <v>0</v>
      </c>
      <c r="F82" s="61">
        <f t="shared" si="37"/>
        <v>0</v>
      </c>
      <c r="G82" s="61">
        <f t="shared" si="37"/>
        <v>0</v>
      </c>
      <c r="H82" s="61">
        <f t="shared" si="37"/>
        <v>0</v>
      </c>
      <c r="I82" s="61">
        <f t="shared" si="37"/>
        <v>0</v>
      </c>
      <c r="J82" s="61">
        <f t="shared" si="37"/>
        <v>0</v>
      </c>
      <c r="K82" s="61">
        <f t="shared" si="37"/>
        <v>0</v>
      </c>
      <c r="L82" s="61">
        <f t="shared" si="37"/>
        <v>0</v>
      </c>
      <c r="M82" s="62">
        <f t="shared" si="37"/>
        <v>0</v>
      </c>
    </row>
    <row r="83" spans="1:13" ht="13.5" thickBot="1">
      <c r="A83" s="47" t="s">
        <v>66</v>
      </c>
      <c r="B83" s="63">
        <f aca="true" t="shared" si="38" ref="B83:M83">B66*B32</f>
        <v>0</v>
      </c>
      <c r="C83" s="63">
        <f t="shared" si="38"/>
        <v>0</v>
      </c>
      <c r="D83" s="63">
        <f t="shared" si="38"/>
        <v>0</v>
      </c>
      <c r="E83" s="63">
        <f t="shared" si="38"/>
        <v>0</v>
      </c>
      <c r="F83" s="63">
        <f t="shared" si="38"/>
        <v>0</v>
      </c>
      <c r="G83" s="63">
        <f t="shared" si="38"/>
        <v>0</v>
      </c>
      <c r="H83" s="63">
        <f t="shared" si="38"/>
        <v>0</v>
      </c>
      <c r="I83" s="63">
        <f t="shared" si="38"/>
        <v>0</v>
      </c>
      <c r="J83" s="63">
        <f t="shared" si="38"/>
        <v>0</v>
      </c>
      <c r="K83" s="63">
        <f t="shared" si="38"/>
        <v>0</v>
      </c>
      <c r="L83" s="63">
        <f t="shared" si="38"/>
        <v>0</v>
      </c>
      <c r="M83" s="64">
        <f t="shared" si="38"/>
        <v>0</v>
      </c>
    </row>
    <row r="84" ht="13.5" thickTop="1"/>
    <row r="85" ht="13.5" thickBot="1"/>
    <row r="86" spans="1:13" ht="15.75" thickTop="1">
      <c r="A86" s="163" t="s">
        <v>96</v>
      </c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5"/>
    </row>
    <row r="87" spans="1:13" ht="12.75">
      <c r="A87" s="44"/>
      <c r="B87" s="45" t="s">
        <v>42</v>
      </c>
      <c r="C87" s="45" t="s">
        <v>43</v>
      </c>
      <c r="D87" s="45" t="s">
        <v>44</v>
      </c>
      <c r="E87" s="45" t="s">
        <v>45</v>
      </c>
      <c r="F87" s="45" t="s">
        <v>46</v>
      </c>
      <c r="G87" s="45" t="s">
        <v>47</v>
      </c>
      <c r="H87" s="45" t="s">
        <v>48</v>
      </c>
      <c r="I87" s="45" t="s">
        <v>49</v>
      </c>
      <c r="J87" s="45" t="s">
        <v>50</v>
      </c>
      <c r="K87" s="45" t="s">
        <v>51</v>
      </c>
      <c r="L87" s="45" t="s">
        <v>52</v>
      </c>
      <c r="M87" s="46" t="s">
        <v>53</v>
      </c>
    </row>
    <row r="88" spans="1:15" ht="12.75">
      <c r="A88" s="44" t="s">
        <v>54</v>
      </c>
      <c r="B88" s="53">
        <f>'private vehicle'!$K$28*B54/SUM($B$71:$M$83)</f>
        <v>40.039725400068214</v>
      </c>
      <c r="C88" s="53">
        <f>'private vehicle'!$K$28*C54/SUM($B$71:$M$83)</f>
        <v>65.06455377511084</v>
      </c>
      <c r="D88" s="53">
        <f>'private vehicle'!$K$28*D54/SUM($B$71:$M$83)</f>
        <v>90.08938215015347</v>
      </c>
      <c r="E88" s="53">
        <f>'private vehicle'!$K$28*E54/SUM($B$71:$M$83)</f>
        <v>130.12910755022168</v>
      </c>
      <c r="F88" s="53">
        <f>'private vehicle'!$K$28*F54/SUM($B$71:$M$83)</f>
        <v>180.17876430030694</v>
      </c>
      <c r="G88" s="53">
        <f>'private vehicle'!$K$28*G54/SUM($B$71:$M$83)</f>
        <v>220.21848970037516</v>
      </c>
      <c r="H88" s="53">
        <f>'private vehicle'!$K$28*H54/SUM($B$71:$M$83)</f>
        <v>250.24828375042634</v>
      </c>
      <c r="I88" s="53">
        <f>'private vehicle'!$K$28*I54/SUM($B$71:$M$83)</f>
        <v>300.2979405005116</v>
      </c>
      <c r="J88" s="53">
        <f>'private vehicle'!$K$28*J54/SUM($B$71:$M$83)</f>
        <v>340.3376659005798</v>
      </c>
      <c r="K88" s="53">
        <f>'private vehicle'!$K$28*K54/SUM($B$71:$M$83)</f>
        <v>390.38732265066506</v>
      </c>
      <c r="L88" s="53">
        <f>'private vehicle'!$K$28*L54/SUM($B$71:$M$83)</f>
        <v>410.4071853506992</v>
      </c>
      <c r="M88" s="54">
        <f>'private vehicle'!$K$28*M54/SUM($B$71:$M$83)</f>
        <v>410.4071853506992</v>
      </c>
      <c r="O88" s="88"/>
    </row>
    <row r="89" spans="1:15" ht="12.75">
      <c r="A89" s="44" t="s">
        <v>55</v>
      </c>
      <c r="B89" s="53">
        <f>'private vehicle'!$K$28*B55/SUM($B$71:$M$83)</f>
        <v>20.019862700034107</v>
      </c>
      <c r="C89" s="53">
        <f>'private vehicle'!$K$28*C55/SUM($B$71:$M$83)</f>
        <v>25.02482837504263</v>
      </c>
      <c r="D89" s="53">
        <f>'private vehicle'!$K$28*D55/SUM($B$71:$M$83)</f>
        <v>30.029794050051162</v>
      </c>
      <c r="E89" s="53">
        <f>'private vehicle'!$K$28*E55/SUM($B$71:$M$83)</f>
        <v>40.039725400068214</v>
      </c>
      <c r="F89" s="53">
        <f>'private vehicle'!$K$28*F55/SUM($B$71:$M$83)</f>
        <v>65.06455377511084</v>
      </c>
      <c r="G89" s="53">
        <f>'private vehicle'!$K$28*G55/SUM($B$71:$M$83)</f>
        <v>80.07945080013643</v>
      </c>
      <c r="H89" s="53">
        <f>'private vehicle'!$K$28*H55/SUM($B$71:$M$83)</f>
        <v>100.09931350017052</v>
      </c>
      <c r="I89" s="53">
        <f>'private vehicle'!$K$28*I55/SUM($B$71:$M$83)</f>
        <v>120.11917620020465</v>
      </c>
      <c r="J89" s="53">
        <f>'private vehicle'!$K$28*J55/SUM($B$71:$M$83)</f>
        <v>140.13903890023875</v>
      </c>
      <c r="K89" s="53">
        <f>'private vehicle'!$K$28*K55/SUM($B$71:$M$83)</f>
        <v>170.1688329502899</v>
      </c>
      <c r="L89" s="53">
        <f>'private vehicle'!$K$28*L55/SUM($B$71:$M$83)</f>
        <v>190.188695650324</v>
      </c>
      <c r="M89" s="54">
        <f>'private vehicle'!$K$28*M55/SUM($B$71:$M$83)</f>
        <v>190.188695650324</v>
      </c>
      <c r="O89" s="88"/>
    </row>
    <row r="90" spans="1:15" ht="12.75">
      <c r="A90" s="44" t="s">
        <v>56</v>
      </c>
      <c r="B90" s="53">
        <f>'private vehicle'!$K$28*B56/SUM($B$71:$M$83)</f>
        <v>45.044691075076734</v>
      </c>
      <c r="C90" s="53">
        <f>'private vehicle'!$K$28*C56/SUM($B$71:$M$83)</f>
        <v>65.06455377511084</v>
      </c>
      <c r="D90" s="53">
        <f>'private vehicle'!$K$28*D56/SUM($B$71:$M$83)</f>
        <v>75.0744851251279</v>
      </c>
      <c r="E90" s="53">
        <f>'private vehicle'!$K$28*E56/SUM($B$71:$M$83)</f>
        <v>100.09931350017052</v>
      </c>
      <c r="F90" s="53">
        <f>'private vehicle'!$K$28*F56/SUM($B$71:$M$83)</f>
        <v>120.11917620020465</v>
      </c>
      <c r="G90" s="53">
        <f>'private vehicle'!$K$28*G56/SUM($B$71:$M$83)</f>
        <v>170.1688329502899</v>
      </c>
      <c r="H90" s="53">
        <f>'private vehicle'!$K$28*H56/SUM($B$71:$M$83)</f>
        <v>190.188695650324</v>
      </c>
      <c r="I90" s="53">
        <f>'private vehicle'!$K$28*I56/SUM($B$71:$M$83)</f>
        <v>220.21848970037516</v>
      </c>
      <c r="J90" s="53">
        <f>'private vehicle'!$K$28*J56/SUM($B$71:$M$83)</f>
        <v>250.24828375042634</v>
      </c>
      <c r="K90" s="53">
        <f>'private vehicle'!$K$28*K56/SUM($B$71:$M$83)</f>
        <v>260.25821510044335</v>
      </c>
      <c r="L90" s="53">
        <f>'private vehicle'!$K$28*L56/SUM($B$71:$M$83)</f>
        <v>310.30787185052867</v>
      </c>
      <c r="M90" s="54">
        <f>'private vehicle'!$K$28*M56/SUM($B$71:$M$83)</f>
        <v>310.30787185052867</v>
      </c>
      <c r="O90" s="88"/>
    </row>
    <row r="91" spans="1:15" ht="12.75">
      <c r="A91" s="44" t="s">
        <v>57</v>
      </c>
      <c r="B91" s="53">
        <f>'private vehicle'!$K$28*B57/SUM($B$71:$M$83)</f>
        <v>90.08938215015347</v>
      </c>
      <c r="C91" s="53">
        <f>'private vehicle'!$K$28*C57/SUM($B$71:$M$83)</f>
        <v>145.14400457524727</v>
      </c>
      <c r="D91" s="53">
        <f>'private vehicle'!$K$28*D57/SUM($B$71:$M$83)</f>
        <v>230.2284210503922</v>
      </c>
      <c r="E91" s="53">
        <f>'private vehicle'!$K$28*E57/SUM($B$71:$M$83)</f>
        <v>310.30787185052867</v>
      </c>
      <c r="F91" s="53">
        <f>'private vehicle'!$K$28*F57/SUM($B$71:$M$83)</f>
        <v>390.38732265066506</v>
      </c>
      <c r="G91" s="53">
        <f>'private vehicle'!$K$28*G57/SUM($B$71:$M$83)</f>
        <v>480.4767048008186</v>
      </c>
      <c r="H91" s="53">
        <f>'private vehicle'!$K$28*H57/SUM($B$71:$M$83)</f>
        <v>560.556155600955</v>
      </c>
      <c r="I91" s="53">
        <f>'private vehicle'!$K$28*I57/SUM($B$71:$M$83)</f>
        <v>640.6356064010914</v>
      </c>
      <c r="J91" s="53">
        <f>'private vehicle'!$K$28*J57/SUM($B$71:$M$83)</f>
        <v>720.7150572012278</v>
      </c>
      <c r="K91" s="53">
        <f>'private vehicle'!$K$28*K57/SUM($B$71:$M$83)</f>
        <v>810.8044393513813</v>
      </c>
      <c r="L91" s="53">
        <f>'private vehicle'!$K$28*L57/SUM($B$71:$M$83)</f>
        <v>880.8739588015006</v>
      </c>
      <c r="M91" s="54">
        <f>'private vehicle'!$K$28*M57/SUM($B$71:$M$83)</f>
        <v>880.8739588015006</v>
      </c>
      <c r="O91" s="88"/>
    </row>
    <row r="92" spans="1:15" ht="12.75">
      <c r="A92" s="44" t="s">
        <v>58</v>
      </c>
      <c r="B92" s="53">
        <f>'private vehicle'!$K$28*B58/SUM($B$71:$M$83)</f>
        <v>140.13903890023875</v>
      </c>
      <c r="C92" s="53">
        <f>'private vehicle'!$K$28*C58/SUM($B$71:$M$83)</f>
        <v>240.2383524004093</v>
      </c>
      <c r="D92" s="53">
        <f>'private vehicle'!$K$28*D58/SUM($B$71:$M$83)</f>
        <v>250.24828375042634</v>
      </c>
      <c r="E92" s="53">
        <f>'private vehicle'!$K$28*E58/SUM($B$71:$M$83)</f>
        <v>450.44691075076736</v>
      </c>
      <c r="F92" s="53">
        <f>'private vehicle'!$K$28*F58/SUM($B$71:$M$83)</f>
        <v>560.556155600955</v>
      </c>
      <c r="G92" s="53">
        <f>'private vehicle'!$K$28*G58/SUM($B$71:$M$83)</f>
        <v>680.6753318011596</v>
      </c>
      <c r="H92" s="53">
        <f>'private vehicle'!$K$28*H58/SUM($B$71:$M$83)</f>
        <v>800.7945080013642</v>
      </c>
      <c r="I92" s="53">
        <f>'private vehicle'!$K$28*I58/SUM($B$71:$M$83)</f>
        <v>900.8938215015347</v>
      </c>
      <c r="J92" s="53">
        <f>'private vehicle'!$K$28*J58/SUM($B$71:$M$83)</f>
        <v>1000.9931350017054</v>
      </c>
      <c r="K92" s="53">
        <f>'private vehicle'!$K$28*K58/SUM($B$71:$M$83)</f>
        <v>1181.1718993020122</v>
      </c>
      <c r="L92" s="53">
        <f>'private vehicle'!$K$28*L58/SUM($B$71:$M$83)</f>
        <v>1431.4201830524387</v>
      </c>
      <c r="M92" s="54">
        <f>'private vehicle'!$K$28*M58/SUM($B$71:$M$83)</f>
        <v>1431.4201830524387</v>
      </c>
      <c r="O92" s="88"/>
    </row>
    <row r="93" spans="1:15" ht="12.75">
      <c r="A93" s="44" t="s">
        <v>59</v>
      </c>
      <c r="B93" s="53">
        <f>'private vehicle'!$K$28*B59/SUM($B$71:$M$83)</f>
        <v>100.09931350017052</v>
      </c>
      <c r="C93" s="53">
        <f>'private vehicle'!$K$28*C59/SUM($B$71:$M$83)</f>
        <v>145.14400457524727</v>
      </c>
      <c r="D93" s="53">
        <f>'private vehicle'!$K$28*D59/SUM($B$71:$M$83)</f>
        <v>245.24331807541782</v>
      </c>
      <c r="E93" s="53">
        <f>'private vehicle'!$K$28*E59/SUM($B$71:$M$83)</f>
        <v>350.34759725059683</v>
      </c>
      <c r="F93" s="53">
        <f>'private vehicle'!$K$28*F59/SUM($B$71:$M$83)</f>
        <v>450.44691075076736</v>
      </c>
      <c r="G93" s="53">
        <f>'private vehicle'!$K$28*G59/SUM($B$71:$M$83)</f>
        <v>560.556155600955</v>
      </c>
      <c r="H93" s="53">
        <f>'private vehicle'!$K$28*H59/SUM($B$71:$M$83)</f>
        <v>660.6554691011255</v>
      </c>
      <c r="I93" s="53">
        <f>'private vehicle'!$K$28*I59/SUM($B$71:$M$83)</f>
        <v>770.7647139513131</v>
      </c>
      <c r="J93" s="53">
        <f>'private vehicle'!$K$28*J59/SUM($B$71:$M$83)</f>
        <v>870.8640274514836</v>
      </c>
      <c r="K93" s="53">
        <f>'private vehicle'!$K$28*K59/SUM($B$71:$M$83)</f>
        <v>950.94347825162</v>
      </c>
      <c r="L93" s="53">
        <f>'private vehicle'!$K$28*L59/SUM($B$71:$M$83)</f>
        <v>1000.9931350017054</v>
      </c>
      <c r="M93" s="54">
        <f>'private vehicle'!$K$28*M59/SUM($B$71:$M$83)</f>
        <v>1000.9931350017054</v>
      </c>
      <c r="O93" s="88"/>
    </row>
    <row r="94" spans="1:15" ht="12.75">
      <c r="A94" s="44" t="s">
        <v>60</v>
      </c>
      <c r="B94" s="53">
        <f>'private vehicle'!$K$28*B60/SUM($B$71:$M$83)</f>
        <v>10.009931350017053</v>
      </c>
      <c r="C94" s="53">
        <f>'private vehicle'!$K$28*C60/SUM($B$71:$M$83)</f>
        <v>20.019862700034107</v>
      </c>
      <c r="D94" s="53">
        <f>'private vehicle'!$K$28*D60/SUM($B$71:$M$83)</f>
        <v>25.02482837504263</v>
      </c>
      <c r="E94" s="53">
        <f>'private vehicle'!$K$28*E60/SUM($B$71:$M$83)</f>
        <v>35.034759725059686</v>
      </c>
      <c r="F94" s="53">
        <f>'private vehicle'!$K$28*F60/SUM($B$71:$M$83)</f>
        <v>45.044691075076734</v>
      </c>
      <c r="G94" s="53">
        <f>'private vehicle'!$K$28*G60/SUM($B$71:$M$83)</f>
        <v>55.05462242509379</v>
      </c>
      <c r="H94" s="53">
        <f>'private vehicle'!$K$28*H60/SUM($B$71:$M$83)</f>
        <v>65.06455377511084</v>
      </c>
      <c r="I94" s="53">
        <f>'private vehicle'!$K$28*I60/SUM($B$71:$M$83)</f>
        <v>70.06951945011937</v>
      </c>
      <c r="J94" s="53">
        <f>'private vehicle'!$K$28*J60/SUM($B$71:$M$83)</f>
        <v>80.07945080013643</v>
      </c>
      <c r="K94" s="53">
        <f>'private vehicle'!$K$28*K60/SUM($B$71:$M$83)</f>
        <v>85.08441647514495</v>
      </c>
      <c r="L94" s="53">
        <f>'private vehicle'!$K$28*L60/SUM($B$71:$M$83)</f>
        <v>90.08938215015347</v>
      </c>
      <c r="M94" s="54">
        <f>'private vehicle'!$K$28*M60/SUM($B$71:$M$83)</f>
        <v>90.08938215015347</v>
      </c>
      <c r="O94" s="88"/>
    </row>
    <row r="95" spans="1:15" ht="12.75">
      <c r="A95" s="44" t="s">
        <v>61</v>
      </c>
      <c r="B95" s="53">
        <f>'private vehicle'!$K$28*B61/SUM($B$71:$M$83)</f>
        <v>80.07945080013643</v>
      </c>
      <c r="C95" s="53">
        <f>'private vehicle'!$K$28*C61/SUM($B$71:$M$83)</f>
        <v>120.11917620020465</v>
      </c>
      <c r="D95" s="53">
        <f>'private vehicle'!$K$28*D61/SUM($B$71:$M$83)</f>
        <v>190.188695650324</v>
      </c>
      <c r="E95" s="53">
        <f>'private vehicle'!$K$28*E61/SUM($B$71:$M$83)</f>
        <v>260.25821510044335</v>
      </c>
      <c r="F95" s="53">
        <f>'private vehicle'!$K$28*F61/SUM($B$71:$M$83)</f>
        <v>350.34759725059683</v>
      </c>
      <c r="G95" s="53">
        <f>'private vehicle'!$K$28*G61/SUM($B$71:$M$83)</f>
        <v>440.4369794007503</v>
      </c>
      <c r="H95" s="53">
        <f>'private vehicle'!$K$28*H61/SUM($B$71:$M$83)</f>
        <v>520.5164302008867</v>
      </c>
      <c r="I95" s="53">
        <f>'private vehicle'!$K$28*I61/SUM($B$71:$M$83)</f>
        <v>600.5958810010231</v>
      </c>
      <c r="J95" s="53">
        <f>'private vehicle'!$K$28*J61/SUM($B$71:$M$83)</f>
        <v>680.6753318011596</v>
      </c>
      <c r="K95" s="53">
        <f>'private vehicle'!$K$28*K61/SUM($B$71:$M$83)</f>
        <v>740.734919901262</v>
      </c>
      <c r="L95" s="53">
        <f>'private vehicle'!$K$28*L61/SUM($B$71:$M$83)</f>
        <v>830.8243020514154</v>
      </c>
      <c r="M95" s="54">
        <f>'private vehicle'!$K$28*M61/SUM($B$71:$M$83)</f>
        <v>830.8243020514154</v>
      </c>
      <c r="O95" s="88"/>
    </row>
    <row r="96" spans="1:15" ht="12.75">
      <c r="A96" s="44" t="s">
        <v>62</v>
      </c>
      <c r="B96" s="53">
        <f>'private vehicle'!$K$28*B62/SUM($B$71:$M$83)</f>
        <v>140.13903890023875</v>
      </c>
      <c r="C96" s="53">
        <f>'private vehicle'!$K$28*C62/SUM($B$71:$M$83)</f>
        <v>240.2383524004093</v>
      </c>
      <c r="D96" s="53">
        <f>'private vehicle'!$K$28*D62/SUM($B$71:$M$83)</f>
        <v>340.3376659005798</v>
      </c>
      <c r="E96" s="53">
        <f>'private vehicle'!$K$28*E62/SUM($B$71:$M$83)</f>
        <v>450.44691075076736</v>
      </c>
      <c r="F96" s="53">
        <f>'private vehicle'!$K$28*F62/SUM($B$71:$M$83)</f>
        <v>560.556155600955</v>
      </c>
      <c r="G96" s="53">
        <f>'private vehicle'!$K$28*G62/SUM($B$71:$M$83)</f>
        <v>680.6753318011596</v>
      </c>
      <c r="H96" s="53">
        <f>'private vehicle'!$K$28*H62/SUM($B$71:$M$83)</f>
        <v>800.7945080013642</v>
      </c>
      <c r="I96" s="53">
        <f>'private vehicle'!$K$28*I62/SUM($B$71:$M$83)</f>
        <v>900.8938215015347</v>
      </c>
      <c r="J96" s="53">
        <f>'private vehicle'!$K$28*J62/SUM($B$71:$M$83)</f>
        <v>1000.9931350017054</v>
      </c>
      <c r="K96" s="53">
        <f>'private vehicle'!$K$28*K62/SUM($B$71:$M$83)</f>
        <v>1201.1917620020463</v>
      </c>
      <c r="L96" s="53">
        <f>'private vehicle'!$K$28*L62/SUM($B$71:$M$83)</f>
        <v>1431.4201830524387</v>
      </c>
      <c r="M96" s="54">
        <f>'private vehicle'!$K$28*M62/SUM($B$71:$M$83)</f>
        <v>1431.4201830524387</v>
      </c>
      <c r="O96" s="88"/>
    </row>
    <row r="97" spans="1:15" ht="12.75">
      <c r="A97" s="44" t="s">
        <v>63</v>
      </c>
      <c r="B97" s="53">
        <f>'private vehicle'!$K$28*B63/SUM($B$71:$M$83)</f>
        <v>210.20855835035812</v>
      </c>
      <c r="C97" s="53">
        <f>'private vehicle'!$K$28*C63/SUM($B$71:$M$83)</f>
        <v>360.3575286006139</v>
      </c>
      <c r="D97" s="53">
        <f>'private vehicle'!$K$28*D63/SUM($B$71:$M$83)</f>
        <v>530.5263615509037</v>
      </c>
      <c r="E97" s="53">
        <f>'private vehicle'!$K$28*E63/SUM($B$71:$M$83)</f>
        <v>740.734919901262</v>
      </c>
      <c r="F97" s="53">
        <f>'private vehicle'!$K$28*F63/SUM($B$71:$M$83)</f>
        <v>940.9335469016029</v>
      </c>
      <c r="G97" s="53">
        <f>'private vehicle'!$K$28*G63/SUM($B$71:$M$83)</f>
        <v>1141.132173901944</v>
      </c>
      <c r="H97" s="53">
        <f>'private vehicle'!$K$28*H63/SUM($B$71:$M$83)</f>
        <v>1331.320869552268</v>
      </c>
      <c r="I97" s="53">
        <f>'private vehicle'!$K$28*I63/SUM($B$71:$M$83)</f>
        <v>1551.5393592526432</v>
      </c>
      <c r="J97" s="53">
        <f>'private vehicle'!$K$28*J63/SUM($B$71:$M$83)</f>
        <v>1661.6486041028309</v>
      </c>
      <c r="K97" s="53">
        <f>'private vehicle'!$K$28*K63/SUM($B$71:$M$83)</f>
        <v>1881.8670938032058</v>
      </c>
      <c r="L97" s="53">
        <f>'private vehicle'!$K$28*L63/SUM($B$71:$M$83)</f>
        <v>2001.9862700034107</v>
      </c>
      <c r="M97" s="54">
        <f>'private vehicle'!$K$28*M63/SUM($B$71:$M$83)</f>
        <v>2001.9862700034107</v>
      </c>
      <c r="O97" s="88"/>
    </row>
    <row r="98" spans="1:15" ht="12.75">
      <c r="A98" s="44" t="s">
        <v>64</v>
      </c>
      <c r="B98" s="53">
        <f>'private vehicle'!$K$28*B64/SUM($B$71:$M$83)</f>
        <v>20.019862700034107</v>
      </c>
      <c r="C98" s="53">
        <f>'private vehicle'!$K$28*C64/SUM($B$71:$M$83)</f>
        <v>45.044691075076734</v>
      </c>
      <c r="D98" s="53">
        <f>'private vehicle'!$K$28*D64/SUM($B$71:$M$83)</f>
        <v>70.06951945011937</v>
      </c>
      <c r="E98" s="53">
        <f>'private vehicle'!$K$28*E64/SUM($B$71:$M$83)</f>
        <v>80.07945080013643</v>
      </c>
      <c r="F98" s="53">
        <f>'private vehicle'!$K$28*F64/SUM($B$71:$M$83)</f>
        <v>100.09931350017052</v>
      </c>
      <c r="G98" s="53">
        <f>'private vehicle'!$K$28*G64/SUM($B$71:$M$83)</f>
        <v>110.10924485018758</v>
      </c>
      <c r="H98" s="53">
        <f>'private vehicle'!$K$28*H64/SUM($B$71:$M$83)</f>
        <v>120.11917620020465</v>
      </c>
      <c r="I98" s="53">
        <f>'private vehicle'!$K$28*I64/SUM($B$71:$M$83)</f>
        <v>140.13903890023875</v>
      </c>
      <c r="J98" s="53">
        <f>'private vehicle'!$K$28*J64/SUM($B$71:$M$83)</f>
        <v>170.1688329502899</v>
      </c>
      <c r="K98" s="53">
        <f>'private vehicle'!$K$28*K64/SUM($B$71:$M$83)</f>
        <v>190.188695650324</v>
      </c>
      <c r="L98" s="53">
        <f>'private vehicle'!$K$28*L64/SUM($B$71:$M$83)</f>
        <v>210.20855835035812</v>
      </c>
      <c r="M98" s="54">
        <f>'private vehicle'!$K$28*M64/SUM($B$71:$M$83)</f>
        <v>210.20855835035812</v>
      </c>
      <c r="O98" s="88"/>
    </row>
    <row r="99" spans="1:15" ht="12.75">
      <c r="A99" s="44" t="s">
        <v>65</v>
      </c>
      <c r="B99" s="53">
        <f>'private vehicle'!$K$28*B65/SUM($B$71:$M$83)</f>
        <v>35.034759725059686</v>
      </c>
      <c r="C99" s="53">
        <f>'private vehicle'!$K$28*C65/SUM($B$71:$M$83)</f>
        <v>55.05462242509379</v>
      </c>
      <c r="D99" s="53">
        <f>'private vehicle'!$K$28*D65/SUM($B$71:$M$83)</f>
        <v>65.06455377511084</v>
      </c>
      <c r="E99" s="53">
        <f>'private vehicle'!$K$28*E65/SUM($B$71:$M$83)</f>
        <v>90.08938215015347</v>
      </c>
      <c r="F99" s="53">
        <f>'private vehicle'!$K$28*F65/SUM($B$71:$M$83)</f>
        <v>100.09931350017052</v>
      </c>
      <c r="G99" s="53">
        <f>'private vehicle'!$K$28*G65/SUM($B$71:$M$83)</f>
        <v>140.13903890023875</v>
      </c>
      <c r="H99" s="53">
        <f>'private vehicle'!$K$28*H65/SUM($B$71:$M$83)</f>
        <v>160.15890160027286</v>
      </c>
      <c r="I99" s="53">
        <f>'private vehicle'!$K$28*I65/SUM($B$71:$M$83)</f>
        <v>190.188695650324</v>
      </c>
      <c r="J99" s="53">
        <f>'private vehicle'!$K$28*J65/SUM($B$71:$M$83)</f>
        <v>210.20855835035812</v>
      </c>
      <c r="K99" s="53">
        <f>'private vehicle'!$K$28*K65/SUM($B$71:$M$83)</f>
        <v>230.2284210503922</v>
      </c>
      <c r="L99" s="53">
        <f>'private vehicle'!$K$28*L65/SUM($B$71:$M$83)</f>
        <v>250.24828375042634</v>
      </c>
      <c r="M99" s="54">
        <f>'private vehicle'!$K$28*M65/SUM($B$71:$M$83)</f>
        <v>250.24828375042634</v>
      </c>
      <c r="O99" s="88"/>
    </row>
    <row r="100" spans="1:15" ht="13.5" thickBot="1">
      <c r="A100" s="47" t="s">
        <v>66</v>
      </c>
      <c r="B100" s="55">
        <f>'private vehicle'!$K$28*B66/SUM($B$71:$M$83)</f>
        <v>30.029794050051162</v>
      </c>
      <c r="C100" s="55">
        <f>'private vehicle'!$K$28*C66/SUM($B$71:$M$83)</f>
        <v>45.044691075076734</v>
      </c>
      <c r="D100" s="55">
        <f>'private vehicle'!$K$28*D66/SUM($B$71:$M$83)</f>
        <v>65.06455377511084</v>
      </c>
      <c r="E100" s="55">
        <f>'private vehicle'!$K$28*E66/SUM($B$71:$M$83)</f>
        <v>85.08441647514495</v>
      </c>
      <c r="F100" s="55">
        <f>'private vehicle'!$K$28*F66/SUM($B$71:$M$83)</f>
        <v>100.09931350017052</v>
      </c>
      <c r="G100" s="55">
        <f>'private vehicle'!$K$28*G66/SUM($B$71:$M$83)</f>
        <v>110.10924485018758</v>
      </c>
      <c r="H100" s="55">
        <f>'private vehicle'!$K$28*H66/SUM($B$71:$M$83)</f>
        <v>120.11917620020465</v>
      </c>
      <c r="I100" s="55">
        <f>'private vehicle'!$K$28*I66/SUM($B$71:$M$83)</f>
        <v>140.13903890023875</v>
      </c>
      <c r="J100" s="55">
        <f>'private vehicle'!$K$28*J66/SUM($B$71:$M$83)</f>
        <v>160.15890160027286</v>
      </c>
      <c r="K100" s="55">
        <f>'private vehicle'!$K$28*K66/SUM($B$71:$M$83)</f>
        <v>190.188695650324</v>
      </c>
      <c r="L100" s="55">
        <f>'private vehicle'!$K$28*L66/SUM($B$71:$M$83)</f>
        <v>210.20855835035812</v>
      </c>
      <c r="M100" s="56">
        <f>'private vehicle'!$K$28*M66/SUM($B$71:$M$83)</f>
        <v>210.20855835035812</v>
      </c>
      <c r="O100" s="88"/>
    </row>
    <row r="101" ht="13.5" thickTop="1"/>
    <row r="103" ht="12.75">
      <c r="A103" s="130" t="s">
        <v>79</v>
      </c>
    </row>
    <row r="104" spans="1:4" ht="12.75">
      <c r="A104" s="130" t="s">
        <v>80</v>
      </c>
      <c r="D104" s="38"/>
    </row>
    <row r="105" ht="12.75">
      <c r="A105" s="130" t="s">
        <v>81</v>
      </c>
    </row>
  </sheetData>
  <sheetProtection/>
  <mergeCells count="6">
    <mergeCell ref="A1:M1"/>
    <mergeCell ref="A18:M18"/>
    <mergeCell ref="A35:M35"/>
    <mergeCell ref="A52:M52"/>
    <mergeCell ref="A69:M69"/>
    <mergeCell ref="A86:M86"/>
  </mergeCells>
  <conditionalFormatting sqref="B20:M32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3" width="10.7109375" style="48" customWidth="1"/>
    <col min="4" max="4" width="11.28125" style="48" customWidth="1"/>
    <col min="5" max="13" width="10.7109375" style="48" customWidth="1"/>
    <col min="14" max="14" width="9.140625" style="48" customWidth="1"/>
    <col min="15" max="15" width="11.28125" style="48" bestFit="1" customWidth="1"/>
    <col min="16" max="16384" width="9.140625" style="48" customWidth="1"/>
  </cols>
  <sheetData>
    <row r="1" spans="1:13" ht="15.75" thickTop="1">
      <c r="A1" s="163" t="s">
        <v>72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5"/>
    </row>
    <row r="2" spans="1:13" ht="12.75">
      <c r="A2" s="44"/>
      <c r="B2" s="45" t="s">
        <v>42</v>
      </c>
      <c r="C2" s="45" t="s">
        <v>43</v>
      </c>
      <c r="D2" s="45" t="s">
        <v>44</v>
      </c>
      <c r="E2" s="45" t="s">
        <v>45</v>
      </c>
      <c r="F2" s="45" t="s">
        <v>46</v>
      </c>
      <c r="G2" s="45" t="s">
        <v>47</v>
      </c>
      <c r="H2" s="45" t="s">
        <v>48</v>
      </c>
      <c r="I2" s="45" t="s">
        <v>49</v>
      </c>
      <c r="J2" s="45" t="s">
        <v>50</v>
      </c>
      <c r="K2" s="45" t="s">
        <v>51</v>
      </c>
      <c r="L2" s="45" t="s">
        <v>52</v>
      </c>
      <c r="M2" s="46" t="s">
        <v>53</v>
      </c>
    </row>
    <row r="3" spans="1:13" ht="12.75">
      <c r="A3" s="44" t="s">
        <v>54</v>
      </c>
      <c r="B3" s="79">
        <f>'private vehicle'!$K$24*shperndarja!B54/SUM(shperndarja!$B$71:$M$83)</f>
        <v>35.12380373295098</v>
      </c>
      <c r="C3" s="79">
        <f>'private vehicle'!$K$24*shperndarja!C54/SUM(shperndarja!$B$71:$M$83)</f>
        <v>57.07618106604535</v>
      </c>
      <c r="D3" s="79">
        <f>'private vehicle'!$K$24*shperndarja!D54/SUM(shperndarja!$B$71:$M$83)</f>
        <v>79.02855839913971</v>
      </c>
      <c r="E3" s="79">
        <f>'private vehicle'!$K$24*shperndarja!E54/SUM(shperndarja!$B$71:$M$83)</f>
        <v>114.1523621320907</v>
      </c>
      <c r="F3" s="79">
        <f>'private vehicle'!$K$24*shperndarja!F54/SUM(shperndarja!$B$71:$M$83)</f>
        <v>158.05711679827942</v>
      </c>
      <c r="G3" s="79">
        <f>'private vehicle'!$K$24*shperndarja!G54/SUM(shperndarja!$B$71:$M$83)</f>
        <v>193.1809205312304</v>
      </c>
      <c r="H3" s="79">
        <f>'private vehicle'!$K$24*shperndarja!H54/SUM(shperndarja!$B$71:$M$83)</f>
        <v>219.52377333094364</v>
      </c>
      <c r="I3" s="79">
        <f>'private vehicle'!$K$24*shperndarja!I54/SUM(shperndarja!$B$71:$M$83)</f>
        <v>263.4285279971324</v>
      </c>
      <c r="J3" s="79">
        <f>'private vehicle'!$K$24*shperndarja!J54/SUM(shperndarja!$B$71:$M$83)</f>
        <v>298.5523317300834</v>
      </c>
      <c r="K3" s="79">
        <f>'private vehicle'!$K$24*shperndarja!K54/SUM(shperndarja!$B$71:$M$83)</f>
        <v>342.45708639627213</v>
      </c>
      <c r="L3" s="79">
        <f>'private vehicle'!$K$24*shperndarja!L54/SUM(shperndarja!$B$71:$M$83)</f>
        <v>360.0189882627476</v>
      </c>
      <c r="M3" s="80">
        <f>'private vehicle'!$K$24*shperndarja!M54/SUM(shperndarja!$B$71:$M$83)</f>
        <v>360.0189882627476</v>
      </c>
    </row>
    <row r="4" spans="1:13" ht="12.75">
      <c r="A4" s="44" t="s">
        <v>55</v>
      </c>
      <c r="B4" s="79">
        <f>'private vehicle'!$K$24*shperndarja!B55/SUM(shperndarja!$B$71:$M$83)</f>
        <v>17.56190186647549</v>
      </c>
      <c r="C4" s="79">
        <f>'private vehicle'!$K$24*shperndarja!C55/SUM(shperndarja!$B$71:$M$83)</f>
        <v>21.952377333094365</v>
      </c>
      <c r="D4" s="79">
        <f>'private vehicle'!$K$24*shperndarja!D55/SUM(shperndarja!$B$71:$M$83)</f>
        <v>26.34285279971324</v>
      </c>
      <c r="E4" s="79">
        <f>'private vehicle'!$K$24*shperndarja!E55/SUM(shperndarja!$B$71:$M$83)</f>
        <v>35.12380373295098</v>
      </c>
      <c r="F4" s="79">
        <f>'private vehicle'!$K$24*shperndarja!F55/SUM(shperndarja!$B$71:$M$83)</f>
        <v>57.07618106604535</v>
      </c>
      <c r="G4" s="79">
        <f>'private vehicle'!$K$24*shperndarja!G55/SUM(shperndarja!$B$71:$M$83)</f>
        <v>70.24760746590196</v>
      </c>
      <c r="H4" s="79">
        <f>'private vehicle'!$K$24*shperndarja!H55/SUM(shperndarja!$B$71:$M$83)</f>
        <v>87.80950933237746</v>
      </c>
      <c r="I4" s="79">
        <f>'private vehicle'!$K$24*shperndarja!I55/SUM(shperndarja!$B$71:$M$83)</f>
        <v>105.37141119885295</v>
      </c>
      <c r="J4" s="79">
        <f>'private vehicle'!$K$24*shperndarja!J55/SUM(shperndarja!$B$71:$M$83)</f>
        <v>122.93331306532845</v>
      </c>
      <c r="K4" s="79">
        <f>'private vehicle'!$K$24*shperndarja!K55/SUM(shperndarja!$B$71:$M$83)</f>
        <v>149.2761658650417</v>
      </c>
      <c r="L4" s="79">
        <f>'private vehicle'!$K$24*shperndarja!L55/SUM(shperndarja!$B$71:$M$83)</f>
        <v>166.83806773151716</v>
      </c>
      <c r="M4" s="80">
        <f>'private vehicle'!$K$24*shperndarja!M55/SUM(shperndarja!$B$71:$M$83)</f>
        <v>166.83806773151716</v>
      </c>
    </row>
    <row r="5" spans="1:15" ht="12.75">
      <c r="A5" s="44" t="s">
        <v>56</v>
      </c>
      <c r="B5" s="79">
        <f>'private vehicle'!$K$24*shperndarja!B56/SUM(shperndarja!$B$71:$M$83)</f>
        <v>39.514279199569856</v>
      </c>
      <c r="C5" s="79">
        <f>'private vehicle'!$K$24*shperndarja!C56/SUM(shperndarja!$B$71:$M$83)</f>
        <v>57.07618106604535</v>
      </c>
      <c r="D5" s="79">
        <f>'private vehicle'!$K$24*shperndarja!D56/SUM(shperndarja!$B$71:$M$83)</f>
        <v>65.8571319992831</v>
      </c>
      <c r="E5" s="79">
        <f>'private vehicle'!$K$24*shperndarja!E56/SUM(shperndarja!$B$71:$M$83)</f>
        <v>87.80950933237746</v>
      </c>
      <c r="F5" s="79">
        <f>'private vehicle'!$K$24*shperndarja!F56/SUM(shperndarja!$B$71:$M$83)</f>
        <v>105.37141119885295</v>
      </c>
      <c r="G5" s="79">
        <f>'private vehicle'!$K$24*shperndarja!G56/SUM(shperndarja!$B$71:$M$83)</f>
        <v>149.2761658650417</v>
      </c>
      <c r="H5" s="79">
        <f>'private vehicle'!$K$24*shperndarja!H56/SUM(shperndarja!$B$71:$M$83)</f>
        <v>166.83806773151716</v>
      </c>
      <c r="I5" s="79">
        <f>'private vehicle'!$K$24*shperndarja!I56/SUM(shperndarja!$B$71:$M$83)</f>
        <v>193.1809205312304</v>
      </c>
      <c r="J5" s="79">
        <f>'private vehicle'!$K$24*shperndarja!J56/SUM(shperndarja!$B$71:$M$83)</f>
        <v>219.52377333094364</v>
      </c>
      <c r="K5" s="79">
        <f>'private vehicle'!$K$24*shperndarja!K56/SUM(shperndarja!$B$71:$M$83)</f>
        <v>228.3047242641814</v>
      </c>
      <c r="L5" s="79">
        <f>'private vehicle'!$K$24*shperndarja!L56/SUM(shperndarja!$B$71:$M$83)</f>
        <v>272.2094789303701</v>
      </c>
      <c r="M5" s="80">
        <f>'private vehicle'!$K$24*shperndarja!M56/SUM(shperndarja!$B$71:$M$83)</f>
        <v>272.2094789303701</v>
      </c>
      <c r="O5" s="65"/>
    </row>
    <row r="6" spans="1:15" ht="12.75">
      <c r="A6" s="44" t="s">
        <v>57</v>
      </c>
      <c r="B6" s="79">
        <f>'private vehicle'!$K$24*shperndarja!B57/SUM(shperndarja!$B$71:$M$83)</f>
        <v>79.02855839913971</v>
      </c>
      <c r="C6" s="79">
        <f>'private vehicle'!$K$24*shperndarja!C57/SUM(shperndarja!$B$71:$M$83)</f>
        <v>127.32378853194732</v>
      </c>
      <c r="D6" s="79">
        <f>'private vehicle'!$K$24*shperndarja!D57/SUM(shperndarja!$B$71:$M$83)</f>
        <v>201.96187146446817</v>
      </c>
      <c r="E6" s="79">
        <f>'private vehicle'!$K$24*shperndarja!E57/SUM(shperndarja!$B$71:$M$83)</f>
        <v>272.2094789303701</v>
      </c>
      <c r="F6" s="79">
        <f>'private vehicle'!$K$24*shperndarja!F57/SUM(shperndarja!$B$71:$M$83)</f>
        <v>342.45708639627213</v>
      </c>
      <c r="G6" s="79">
        <f>'private vehicle'!$K$24*shperndarja!G57/SUM(shperndarja!$B$71:$M$83)</f>
        <v>421.4856447954118</v>
      </c>
      <c r="H6" s="79">
        <f>'private vehicle'!$K$24*shperndarja!H57/SUM(shperndarja!$B$71:$M$83)</f>
        <v>491.7332522613138</v>
      </c>
      <c r="I6" s="79">
        <f>'private vehicle'!$K$24*shperndarja!I57/SUM(shperndarja!$B$71:$M$83)</f>
        <v>561.9808597272157</v>
      </c>
      <c r="J6" s="79">
        <f>'private vehicle'!$K$24*shperndarja!J57/SUM(shperndarja!$B$71:$M$83)</f>
        <v>632.2284671931177</v>
      </c>
      <c r="K6" s="79">
        <f>'private vehicle'!$K$24*shperndarja!K57/SUM(shperndarja!$B$71:$M$83)</f>
        <v>711.2570255922575</v>
      </c>
      <c r="L6" s="79">
        <f>'private vehicle'!$K$24*shperndarja!L57/SUM(shperndarja!$B$71:$M$83)</f>
        <v>772.7236821249217</v>
      </c>
      <c r="M6" s="80">
        <f>'private vehicle'!$K$24*shperndarja!M57/SUM(shperndarja!$B$71:$M$83)</f>
        <v>772.7236821249217</v>
      </c>
      <c r="O6" s="66"/>
    </row>
    <row r="7" spans="1:13" ht="12.75">
      <c r="A7" s="44" t="s">
        <v>58</v>
      </c>
      <c r="B7" s="79">
        <f>'private vehicle'!$K$24*shperndarja!B58/SUM(shperndarja!$B$71:$M$83)</f>
        <v>122.93331306532845</v>
      </c>
      <c r="C7" s="79">
        <f>'private vehicle'!$K$24*shperndarja!C58/SUM(shperndarja!$B$71:$M$83)</f>
        <v>210.7428223977059</v>
      </c>
      <c r="D7" s="79">
        <f>'private vehicle'!$K$24*shperndarja!D58/SUM(shperndarja!$B$71:$M$83)</f>
        <v>219.52377333094364</v>
      </c>
      <c r="E7" s="79">
        <f>'private vehicle'!$K$24*shperndarja!E58/SUM(shperndarja!$B$71:$M$83)</f>
        <v>395.1427919956986</v>
      </c>
      <c r="F7" s="79">
        <f>'private vehicle'!$K$24*shperndarja!F58/SUM(shperndarja!$B$71:$M$83)</f>
        <v>491.7332522613138</v>
      </c>
      <c r="G7" s="79">
        <f>'private vehicle'!$K$24*shperndarja!G58/SUM(shperndarja!$B$71:$M$83)</f>
        <v>597.1046634601668</v>
      </c>
      <c r="H7" s="79">
        <f>'private vehicle'!$K$24*shperndarja!H58/SUM(shperndarja!$B$71:$M$83)</f>
        <v>702.4760746590197</v>
      </c>
      <c r="I7" s="79">
        <f>'private vehicle'!$K$24*shperndarja!I58/SUM(shperndarja!$B$71:$M$83)</f>
        <v>790.2855839913972</v>
      </c>
      <c r="J7" s="79">
        <f>'private vehicle'!$K$24*shperndarja!J58/SUM(shperndarja!$B$71:$M$83)</f>
        <v>878.0950933237746</v>
      </c>
      <c r="K7" s="79">
        <f>'private vehicle'!$K$24*shperndarja!K58/SUM(shperndarja!$B$71:$M$83)</f>
        <v>1036.1522101220542</v>
      </c>
      <c r="L7" s="79">
        <f>'private vehicle'!$K$24*shperndarja!L58/SUM(shperndarja!$B$71:$M$83)</f>
        <v>1255.6759834529978</v>
      </c>
      <c r="M7" s="80">
        <f>'private vehicle'!$K$24*shperndarja!M58/SUM(shperndarja!$B$71:$M$83)</f>
        <v>1255.6759834529978</v>
      </c>
    </row>
    <row r="8" spans="1:13" ht="12.75">
      <c r="A8" s="44" t="s">
        <v>59</v>
      </c>
      <c r="B8" s="79">
        <f>'private vehicle'!$K$24*shperndarja!B59/SUM(shperndarja!$B$71:$M$83)</f>
        <v>87.80950933237746</v>
      </c>
      <c r="C8" s="79">
        <f>'private vehicle'!$K$24*shperndarja!C59/SUM(shperndarja!$B$71:$M$83)</f>
        <v>127.32378853194732</v>
      </c>
      <c r="D8" s="79">
        <f>'private vehicle'!$K$24*shperndarja!D59/SUM(shperndarja!$B$71:$M$83)</f>
        <v>215.1332978643248</v>
      </c>
      <c r="E8" s="79">
        <f>'private vehicle'!$K$24*shperndarja!E59/SUM(shperndarja!$B$71:$M$83)</f>
        <v>307.33328266332114</v>
      </c>
      <c r="F8" s="79">
        <f>'private vehicle'!$K$24*shperndarja!F59/SUM(shperndarja!$B$71:$M$83)</f>
        <v>395.1427919956986</v>
      </c>
      <c r="G8" s="79">
        <f>'private vehicle'!$K$24*shperndarja!G59/SUM(shperndarja!$B$71:$M$83)</f>
        <v>491.7332522613138</v>
      </c>
      <c r="H8" s="79">
        <f>'private vehicle'!$K$24*shperndarja!H59/SUM(shperndarja!$B$71:$M$83)</f>
        <v>579.5427615936914</v>
      </c>
      <c r="I8" s="79">
        <f>'private vehicle'!$K$24*shperndarja!I59/SUM(shperndarja!$B$71:$M$83)</f>
        <v>676.1332218593064</v>
      </c>
      <c r="J8" s="79">
        <f>'private vehicle'!$K$24*shperndarja!J59/SUM(shperndarja!$B$71:$M$83)</f>
        <v>763.9427311916838</v>
      </c>
      <c r="K8" s="79">
        <f>'private vehicle'!$K$24*shperndarja!K59/SUM(shperndarja!$B$71:$M$83)</f>
        <v>834.1903386575859</v>
      </c>
      <c r="L8" s="79">
        <f>'private vehicle'!$K$24*shperndarja!L59/SUM(shperndarja!$B$71:$M$83)</f>
        <v>878.0950933237746</v>
      </c>
      <c r="M8" s="80">
        <f>'private vehicle'!$K$24*shperndarja!M59/SUM(shperndarja!$B$71:$M$83)</f>
        <v>878.0950933237746</v>
      </c>
    </row>
    <row r="9" spans="1:13" ht="12.75">
      <c r="A9" s="44" t="s">
        <v>60</v>
      </c>
      <c r="B9" s="79">
        <f>'private vehicle'!$K$24*shperndarja!B60/SUM(shperndarja!$B$71:$M$83)</f>
        <v>8.780950933237746</v>
      </c>
      <c r="C9" s="79">
        <f>'private vehicle'!$K$24*shperndarja!C60/SUM(shperndarja!$B$71:$M$83)</f>
        <v>17.56190186647549</v>
      </c>
      <c r="D9" s="79">
        <f>'private vehicle'!$K$24*shperndarja!D60/SUM(shperndarja!$B$71:$M$83)</f>
        <v>21.952377333094365</v>
      </c>
      <c r="E9" s="79">
        <f>'private vehicle'!$K$24*shperndarja!E60/SUM(shperndarja!$B$71:$M$83)</f>
        <v>30.733328266332112</v>
      </c>
      <c r="F9" s="79">
        <f>'private vehicle'!$K$24*shperndarja!F60/SUM(shperndarja!$B$71:$M$83)</f>
        <v>39.514279199569856</v>
      </c>
      <c r="G9" s="79">
        <f>'private vehicle'!$K$24*shperndarja!G60/SUM(shperndarja!$B$71:$M$83)</f>
        <v>48.2952301328076</v>
      </c>
      <c r="H9" s="79">
        <f>'private vehicle'!$K$24*shperndarja!H60/SUM(shperndarja!$B$71:$M$83)</f>
        <v>57.07618106604535</v>
      </c>
      <c r="I9" s="79">
        <f>'private vehicle'!$K$24*shperndarja!I60/SUM(shperndarja!$B$71:$M$83)</f>
        <v>61.466656532664224</v>
      </c>
      <c r="J9" s="79">
        <f>'private vehicle'!$K$24*shperndarja!J60/SUM(shperndarja!$B$71:$M$83)</f>
        <v>70.24760746590196</v>
      </c>
      <c r="K9" s="79">
        <f>'private vehicle'!$K$24*shperndarja!K60/SUM(shperndarja!$B$71:$M$83)</f>
        <v>74.63808293252085</v>
      </c>
      <c r="L9" s="79">
        <f>'private vehicle'!$K$24*shperndarja!L60/SUM(shperndarja!$B$71:$M$83)</f>
        <v>79.02855839913971</v>
      </c>
      <c r="M9" s="80">
        <f>'private vehicle'!$K$24*shperndarja!M60/SUM(shperndarja!$B$71:$M$83)</f>
        <v>79.02855839913971</v>
      </c>
    </row>
    <row r="10" spans="1:13" ht="12.75">
      <c r="A10" s="44" t="s">
        <v>61</v>
      </c>
      <c r="B10" s="79">
        <f>'private vehicle'!$K$24*shperndarja!B61/SUM(shperndarja!$B$71:$M$83)</f>
        <v>70.24760746590196</v>
      </c>
      <c r="C10" s="79">
        <f>'private vehicle'!$K$24*shperndarja!C61/SUM(shperndarja!$B$71:$M$83)</f>
        <v>105.37141119885295</v>
      </c>
      <c r="D10" s="79">
        <f>'private vehicle'!$K$24*shperndarja!D61/SUM(shperndarja!$B$71:$M$83)</f>
        <v>166.83806773151716</v>
      </c>
      <c r="E10" s="79">
        <f>'private vehicle'!$K$24*shperndarja!E61/SUM(shperndarja!$B$71:$M$83)</f>
        <v>228.3047242641814</v>
      </c>
      <c r="F10" s="79">
        <f>'private vehicle'!$K$24*shperndarja!F61/SUM(shperndarja!$B$71:$M$83)</f>
        <v>307.33328266332114</v>
      </c>
      <c r="G10" s="79">
        <f>'private vehicle'!$K$24*shperndarja!G61/SUM(shperndarja!$B$71:$M$83)</f>
        <v>386.3618410624608</v>
      </c>
      <c r="H10" s="79">
        <f>'private vehicle'!$K$24*shperndarja!H61/SUM(shperndarja!$B$71:$M$83)</f>
        <v>456.6094485283628</v>
      </c>
      <c r="I10" s="79">
        <f>'private vehicle'!$K$24*shperndarja!I61/SUM(shperndarja!$B$71:$M$83)</f>
        <v>526.8570559942648</v>
      </c>
      <c r="J10" s="79">
        <f>'private vehicle'!$K$24*shperndarja!J61/SUM(shperndarja!$B$71:$M$83)</f>
        <v>597.1046634601668</v>
      </c>
      <c r="K10" s="79">
        <f>'private vehicle'!$K$24*shperndarja!K61/SUM(shperndarja!$B$71:$M$83)</f>
        <v>649.7903690595932</v>
      </c>
      <c r="L10" s="79">
        <f>'private vehicle'!$K$24*shperndarja!L61/SUM(shperndarja!$B$71:$M$83)</f>
        <v>728.8189274587329</v>
      </c>
      <c r="M10" s="80">
        <f>'private vehicle'!$K$24*shperndarja!M61/SUM(shperndarja!$B$71:$M$83)</f>
        <v>728.8189274587329</v>
      </c>
    </row>
    <row r="11" spans="1:13" ht="12.75">
      <c r="A11" s="44" t="s">
        <v>62</v>
      </c>
      <c r="B11" s="79">
        <f>'private vehicle'!$K$24*shperndarja!B62/SUM(shperndarja!$B$71:$M$83)</f>
        <v>122.93331306532845</v>
      </c>
      <c r="C11" s="79">
        <f>'private vehicle'!$K$24*shperndarja!C62/SUM(shperndarja!$B$71:$M$83)</f>
        <v>210.7428223977059</v>
      </c>
      <c r="D11" s="79">
        <f>'private vehicle'!$K$24*shperndarja!D62/SUM(shperndarja!$B$71:$M$83)</f>
        <v>298.5523317300834</v>
      </c>
      <c r="E11" s="79">
        <f>'private vehicle'!$K$24*shperndarja!E62/SUM(shperndarja!$B$71:$M$83)</f>
        <v>395.1427919956986</v>
      </c>
      <c r="F11" s="79">
        <f>'private vehicle'!$K$24*shperndarja!F62/SUM(shperndarja!$B$71:$M$83)</f>
        <v>491.7332522613138</v>
      </c>
      <c r="G11" s="79">
        <f>'private vehicle'!$K$24*shperndarja!G62/SUM(shperndarja!$B$71:$M$83)</f>
        <v>597.1046634601668</v>
      </c>
      <c r="H11" s="79">
        <f>'private vehicle'!$K$24*shperndarja!H62/SUM(shperndarja!$B$71:$M$83)</f>
        <v>702.4760746590197</v>
      </c>
      <c r="I11" s="79">
        <f>'private vehicle'!$K$24*shperndarja!I62/SUM(shperndarja!$B$71:$M$83)</f>
        <v>790.2855839913972</v>
      </c>
      <c r="J11" s="79">
        <f>'private vehicle'!$K$24*shperndarja!J62/SUM(shperndarja!$B$71:$M$83)</f>
        <v>878.0950933237746</v>
      </c>
      <c r="K11" s="79">
        <f>'private vehicle'!$K$24*shperndarja!K62/SUM(shperndarja!$B$71:$M$83)</f>
        <v>1053.7141119885296</v>
      </c>
      <c r="L11" s="79">
        <f>'private vehicle'!$K$24*shperndarja!L62/SUM(shperndarja!$B$71:$M$83)</f>
        <v>1255.6759834529978</v>
      </c>
      <c r="M11" s="80">
        <f>'private vehicle'!$K$24*shperndarja!M62/SUM(shperndarja!$B$71:$M$83)</f>
        <v>1255.6759834529978</v>
      </c>
    </row>
    <row r="12" spans="1:13" ht="12.75">
      <c r="A12" s="44" t="s">
        <v>63</v>
      </c>
      <c r="B12" s="79">
        <f>'private vehicle'!$K$24*shperndarja!B63/SUM(shperndarja!$B$71:$M$83)</f>
        <v>184.39996959799268</v>
      </c>
      <c r="C12" s="79">
        <f>'private vehicle'!$K$24*shperndarja!C63/SUM(shperndarja!$B$71:$M$83)</f>
        <v>316.11423359655885</v>
      </c>
      <c r="D12" s="79">
        <f>'private vehicle'!$K$24*shperndarja!D63/SUM(shperndarja!$B$71:$M$83)</f>
        <v>465.39039946160057</v>
      </c>
      <c r="E12" s="79">
        <f>'private vehicle'!$K$24*shperndarja!E63/SUM(shperndarja!$B$71:$M$83)</f>
        <v>649.7903690595932</v>
      </c>
      <c r="F12" s="79">
        <f>'private vehicle'!$K$24*shperndarja!F63/SUM(shperndarja!$B$71:$M$83)</f>
        <v>825.4093877243481</v>
      </c>
      <c r="G12" s="79">
        <f>'private vehicle'!$K$24*shperndarja!G63/SUM(shperndarja!$B$71:$M$83)</f>
        <v>1001.0284063891031</v>
      </c>
      <c r="H12" s="79">
        <f>'private vehicle'!$K$24*shperndarja!H63/SUM(shperndarja!$B$71:$M$83)</f>
        <v>1167.8664741206203</v>
      </c>
      <c r="I12" s="79">
        <f>'private vehicle'!$K$24*shperndarja!I63/SUM(shperndarja!$B$71:$M$83)</f>
        <v>1361.0473946518507</v>
      </c>
      <c r="J12" s="79">
        <f>'private vehicle'!$K$24*shperndarja!J63/SUM(shperndarja!$B$71:$M$83)</f>
        <v>1457.6378549174658</v>
      </c>
      <c r="K12" s="79">
        <f>'private vehicle'!$K$24*shperndarja!K63/SUM(shperndarja!$B$71:$M$83)</f>
        <v>1650.8187754486962</v>
      </c>
      <c r="L12" s="79">
        <f>'private vehicle'!$K$24*shperndarja!L63/SUM(shperndarja!$B$71:$M$83)</f>
        <v>1756.1901866475491</v>
      </c>
      <c r="M12" s="80">
        <f>'private vehicle'!$K$24*shperndarja!M63/SUM(shperndarja!$B$71:$M$83)</f>
        <v>1756.1901866475491</v>
      </c>
    </row>
    <row r="13" spans="1:13" ht="12.75">
      <c r="A13" s="44" t="s">
        <v>64</v>
      </c>
      <c r="B13" s="79">
        <f>'private vehicle'!$K$24*shperndarja!B64/SUM(shperndarja!$B$71:$M$83)</f>
        <v>17.56190186647549</v>
      </c>
      <c r="C13" s="79">
        <f>'private vehicle'!$K$24*shperndarja!C64/SUM(shperndarja!$B$71:$M$83)</f>
        <v>39.514279199569856</v>
      </c>
      <c r="D13" s="79">
        <f>'private vehicle'!$K$24*shperndarja!D64/SUM(shperndarja!$B$71:$M$83)</f>
        <v>61.466656532664224</v>
      </c>
      <c r="E13" s="79">
        <f>'private vehicle'!$K$24*shperndarja!E64/SUM(shperndarja!$B$71:$M$83)</f>
        <v>70.24760746590196</v>
      </c>
      <c r="F13" s="79">
        <f>'private vehicle'!$K$24*shperndarja!F64/SUM(shperndarja!$B$71:$M$83)</f>
        <v>87.80950933237746</v>
      </c>
      <c r="G13" s="79">
        <f>'private vehicle'!$K$24*shperndarja!G64/SUM(shperndarja!$B$71:$M$83)</f>
        <v>96.5904602656152</v>
      </c>
      <c r="H13" s="79">
        <f>'private vehicle'!$K$24*shperndarja!H64/SUM(shperndarja!$B$71:$M$83)</f>
        <v>105.37141119885295</v>
      </c>
      <c r="I13" s="79">
        <f>'private vehicle'!$K$24*shperndarja!I64/SUM(shperndarja!$B$71:$M$83)</f>
        <v>122.93331306532845</v>
      </c>
      <c r="J13" s="79">
        <f>'private vehicle'!$K$24*shperndarja!J64/SUM(shperndarja!$B$71:$M$83)</f>
        <v>149.2761658650417</v>
      </c>
      <c r="K13" s="79">
        <f>'private vehicle'!$K$24*shperndarja!K64/SUM(shperndarja!$B$71:$M$83)</f>
        <v>166.83806773151716</v>
      </c>
      <c r="L13" s="79">
        <f>'private vehicle'!$K$24*shperndarja!L64/SUM(shperndarja!$B$71:$M$83)</f>
        <v>184.39996959799268</v>
      </c>
      <c r="M13" s="80">
        <f>'private vehicle'!$K$24*shperndarja!M64/SUM(shperndarja!$B$71:$M$83)</f>
        <v>184.39996959799268</v>
      </c>
    </row>
    <row r="14" spans="1:13" ht="12.75">
      <c r="A14" s="44" t="s">
        <v>65</v>
      </c>
      <c r="B14" s="79">
        <f>'private vehicle'!$K$24*shperndarja!B65/SUM(shperndarja!$B$71:$M$83)</f>
        <v>30.733328266332112</v>
      </c>
      <c r="C14" s="79">
        <f>'private vehicle'!$K$24*shperndarja!C65/SUM(shperndarja!$B$71:$M$83)</f>
        <v>48.2952301328076</v>
      </c>
      <c r="D14" s="79">
        <f>'private vehicle'!$K$24*shperndarja!D65/SUM(shperndarja!$B$71:$M$83)</f>
        <v>57.07618106604535</v>
      </c>
      <c r="E14" s="79">
        <f>'private vehicle'!$K$24*shperndarja!E65/SUM(shperndarja!$B$71:$M$83)</f>
        <v>79.02855839913971</v>
      </c>
      <c r="F14" s="79">
        <f>'private vehicle'!$K$24*shperndarja!F65/SUM(shperndarja!$B$71:$M$83)</f>
        <v>87.80950933237746</v>
      </c>
      <c r="G14" s="79">
        <f>'private vehicle'!$K$24*shperndarja!G65/SUM(shperndarja!$B$71:$M$83)</f>
        <v>122.93331306532845</v>
      </c>
      <c r="H14" s="79">
        <f>'private vehicle'!$K$24*shperndarja!H65/SUM(shperndarja!$B$71:$M$83)</f>
        <v>140.49521493180393</v>
      </c>
      <c r="I14" s="79">
        <f>'private vehicle'!$K$24*shperndarja!I65/SUM(shperndarja!$B$71:$M$83)</f>
        <v>166.83806773151716</v>
      </c>
      <c r="J14" s="79">
        <f>'private vehicle'!$K$24*shperndarja!J65/SUM(shperndarja!$B$71:$M$83)</f>
        <v>184.39996959799268</v>
      </c>
      <c r="K14" s="79">
        <f>'private vehicle'!$K$24*shperndarja!K65/SUM(shperndarja!$B$71:$M$83)</f>
        <v>201.96187146446817</v>
      </c>
      <c r="L14" s="79">
        <f>'private vehicle'!$K$24*shperndarja!L65/SUM(shperndarja!$B$71:$M$83)</f>
        <v>219.52377333094364</v>
      </c>
      <c r="M14" s="80">
        <f>'private vehicle'!$K$24*shperndarja!M65/SUM(shperndarja!$B$71:$M$83)</f>
        <v>219.52377333094364</v>
      </c>
    </row>
    <row r="15" spans="1:13" ht="13.5" thickBot="1">
      <c r="A15" s="47" t="s">
        <v>66</v>
      </c>
      <c r="B15" s="81">
        <f>'private vehicle'!$K$24*shperndarja!B66/SUM(shperndarja!$B$71:$M$83)</f>
        <v>26.34285279971324</v>
      </c>
      <c r="C15" s="81">
        <f>'private vehicle'!$K$24*shperndarja!C66/SUM(shperndarja!$B$71:$M$83)</f>
        <v>39.514279199569856</v>
      </c>
      <c r="D15" s="81">
        <f>'private vehicle'!$K$24*shperndarja!D66/SUM(shperndarja!$B$71:$M$83)</f>
        <v>57.07618106604535</v>
      </c>
      <c r="E15" s="81">
        <f>'private vehicle'!$K$24*shperndarja!E66/SUM(shperndarja!$B$71:$M$83)</f>
        <v>74.63808293252085</v>
      </c>
      <c r="F15" s="81">
        <f>'private vehicle'!$K$24*shperndarja!F66/SUM(shperndarja!$B$71:$M$83)</f>
        <v>87.80950933237746</v>
      </c>
      <c r="G15" s="81">
        <f>'private vehicle'!$K$24*shperndarja!G66/SUM(shperndarja!$B$71:$M$83)</f>
        <v>96.5904602656152</v>
      </c>
      <c r="H15" s="81">
        <f>'private vehicle'!$K$24*shperndarja!H66/SUM(shperndarja!$B$71:$M$83)</f>
        <v>105.37141119885295</v>
      </c>
      <c r="I15" s="81">
        <f>'private vehicle'!$K$24*shperndarja!I66/SUM(shperndarja!$B$71:$M$83)</f>
        <v>122.93331306532845</v>
      </c>
      <c r="J15" s="81">
        <f>'private vehicle'!$K$24*shperndarja!J66/SUM(shperndarja!$B$71:$M$83)</f>
        <v>140.49521493180393</v>
      </c>
      <c r="K15" s="81">
        <f>'private vehicle'!$K$24*shperndarja!K66/SUM(shperndarja!$B$71:$M$83)</f>
        <v>166.83806773151716</v>
      </c>
      <c r="L15" s="81">
        <f>'private vehicle'!$K$24*shperndarja!L66/SUM(shperndarja!$B$71:$M$83)</f>
        <v>184.39996959799268</v>
      </c>
      <c r="M15" s="82">
        <f>'private vehicle'!$K$24*shperndarja!M66/SUM(shperndarja!$B$71:$M$83)</f>
        <v>184.39996959799268</v>
      </c>
    </row>
    <row r="16" ht="13.5" thickTop="1"/>
    <row r="18" spans="1:4" ht="12.75">
      <c r="A18" s="74" t="s">
        <v>74</v>
      </c>
      <c r="C18" s="73">
        <v>550000</v>
      </c>
      <c r="D18" s="87"/>
    </row>
    <row r="19" spans="1:4" ht="12.75">
      <c r="A19" s="74" t="s">
        <v>75</v>
      </c>
      <c r="C19" s="73">
        <v>224711</v>
      </c>
      <c r="D19" s="87"/>
    </row>
    <row r="20" spans="1:4" ht="12.75">
      <c r="A20" s="74" t="s">
        <v>76</v>
      </c>
      <c r="C20" s="73">
        <v>1339252.07</v>
      </c>
      <c r="D20" s="87"/>
    </row>
    <row r="22" spans="1:3" ht="12.75">
      <c r="A22" s="74" t="s">
        <v>95</v>
      </c>
      <c r="C22" s="75">
        <v>10</v>
      </c>
    </row>
    <row r="24" spans="1:3" ht="12.75">
      <c r="A24" s="48" t="s">
        <v>69</v>
      </c>
      <c r="C24" s="65">
        <f>(C19+C20+C18)/C22</f>
        <v>211396.30700000003</v>
      </c>
    </row>
    <row r="26" spans="1:3" ht="12.75">
      <c r="A26" s="48" t="s">
        <v>70</v>
      </c>
      <c r="C26" s="65">
        <f>SUMPRODUCT(B3:M15,shperndarja!B3:M15)</f>
        <v>1510406.9795507586</v>
      </c>
    </row>
    <row r="28" spans="1:3" ht="12.75">
      <c r="A28" s="48" t="s">
        <v>71</v>
      </c>
      <c r="C28" s="66">
        <f>C24/C26</f>
        <v>0.13995983192746883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Desantis</dc:creator>
  <cp:keywords/>
  <dc:description/>
  <cp:lastModifiedBy>Brikena Xhaja</cp:lastModifiedBy>
  <cp:lastPrinted>2018-01-31T11:33:40Z</cp:lastPrinted>
  <dcterms:created xsi:type="dcterms:W3CDTF">1998-02-25T09:28:20Z</dcterms:created>
  <dcterms:modified xsi:type="dcterms:W3CDTF">2018-01-31T11:35:21Z</dcterms:modified>
  <cp:category/>
  <cp:version/>
  <cp:contentType/>
  <cp:contentStatus/>
</cp:coreProperties>
</file>